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95" windowWidth="12840" windowHeight="9705" tabRatio="544" activeTab="2"/>
  </bookViews>
  <sheets>
    <sheet name="SimpleServo" sheetId="1" r:id="rId1"/>
    <sheet name="StdServo" sheetId="2" r:id="rId2"/>
    <sheet name="SuperServo" sheetId="3" r:id="rId3"/>
    <sheet name="Props" sheetId="4" r:id="rId4"/>
    <sheet name="Loading" sheetId="5" r:id="rId5"/>
    <sheet name="Buzz" sheetId="6" r:id="rId6"/>
    <sheet name="ServoTest" sheetId="7" r:id="rId7"/>
  </sheets>
  <definedNames>
    <definedName name="solver_adj" localSheetId="1" hidden="1">'StdServo'!$H$7</definedName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'StdServo'!#REF!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'StdServo'!$H$15</definedName>
    <definedName name="solver_pre" localSheetId="1" hidden="1">0.000001</definedName>
    <definedName name="solver_rel1" localSheetId="1" hidden="1">1</definedName>
    <definedName name="solver_rhs1" localSheetId="1" hidden="1">'StdServo'!#REF!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comments3.xml><?xml version="1.0" encoding="utf-8"?>
<comments xmlns="http://schemas.openxmlformats.org/spreadsheetml/2006/main">
  <authors>
    <author>Craig Tenney</author>
  </authors>
  <commentList>
    <comment ref="B3" authorId="0">
      <text>
        <r>
          <rPr>
            <b/>
            <sz val="8"/>
            <rFont val="Tahoma"/>
            <family val="0"/>
          </rPr>
          <t>Servo distance forward of hingeline (cm)</t>
        </r>
      </text>
    </comment>
    <comment ref="B5" authorId="0">
      <text>
        <r>
          <rPr>
            <b/>
            <sz val="8"/>
            <rFont val="Tahoma"/>
            <family val="0"/>
          </rPr>
          <t>Control horn distance aft of hingeline (cm)</t>
        </r>
      </text>
    </comment>
    <comment ref="B6" authorId="0">
      <text>
        <r>
          <rPr>
            <b/>
            <sz val="8"/>
            <rFont val="Tahoma"/>
            <family val="0"/>
          </rPr>
          <t>Control horn height above/below chordline (cm)</t>
        </r>
      </text>
    </comment>
    <comment ref="B10" authorId="0">
      <text>
        <r>
          <rPr>
            <b/>
            <sz val="8"/>
            <rFont val="Tahoma"/>
            <family val="0"/>
          </rPr>
          <t>Maximum positive control rotation (degrees)</t>
        </r>
      </text>
    </comment>
    <comment ref="B11" authorId="0">
      <text>
        <r>
          <rPr>
            <b/>
            <sz val="8"/>
            <rFont val="Tahoma"/>
            <family val="0"/>
          </rPr>
          <t>Maximum negative control rotation (degrees)</t>
        </r>
      </text>
    </comment>
    <comment ref="B8" authorId="0">
      <text>
        <r>
          <rPr>
            <b/>
            <sz val="8"/>
            <rFont val="Tahoma"/>
            <family val="0"/>
          </rPr>
          <t>Maximum postitive servo rotation (degrees)</t>
        </r>
      </text>
    </comment>
    <comment ref="B9" authorId="0">
      <text>
        <r>
          <rPr>
            <b/>
            <sz val="8"/>
            <rFont val="Tahoma"/>
            <family val="0"/>
          </rPr>
          <t>Maximum negative servo rotation (degrees)</t>
        </r>
      </text>
    </comment>
    <comment ref="B13" authorId="0">
      <text>
        <r>
          <rPr>
            <b/>
            <sz val="8"/>
            <rFont val="Tahoma"/>
            <family val="0"/>
          </rPr>
          <t>Control offset from neutral (degrees)</t>
        </r>
      </text>
    </comment>
    <comment ref="B15" authorId="0">
      <text>
        <r>
          <rPr>
            <b/>
            <sz val="8"/>
            <rFont val="Tahoma"/>
            <family val="0"/>
          </rPr>
          <t>Reverse servo rotation</t>
        </r>
      </text>
    </comment>
    <comment ref="B17" authorId="0">
      <text>
        <r>
          <rPr>
            <b/>
            <sz val="8"/>
            <rFont val="Tahoma"/>
            <family val="0"/>
          </rPr>
          <t>Average control surface chord (cm)</t>
        </r>
      </text>
    </comment>
    <comment ref="B18" authorId="0">
      <text>
        <r>
          <rPr>
            <b/>
            <sz val="8"/>
            <rFont val="Tahoma"/>
            <family val="0"/>
          </rPr>
          <t>Average control surface length (cm)</t>
        </r>
      </text>
    </comment>
    <comment ref="B14" authorId="0">
      <text>
        <r>
          <rPr>
            <b/>
            <sz val="8"/>
            <rFont val="Tahoma"/>
            <family val="0"/>
          </rPr>
          <t>Relative angle of attack of surface (degrees)</t>
        </r>
      </text>
    </comment>
    <comment ref="B20" authorId="0">
      <text>
        <r>
          <rPr>
            <b/>
            <sz val="8"/>
            <rFont val="Tahoma"/>
            <family val="0"/>
          </rPr>
          <t>Current transmitter stick position (%)</t>
        </r>
      </text>
    </comment>
    <comment ref="B21" authorId="0">
      <text>
        <r>
          <rPr>
            <b/>
            <sz val="8"/>
            <rFont val="Tahoma"/>
            <family val="0"/>
          </rPr>
          <t>Current control surface deflection angle (degrees)</t>
        </r>
      </text>
    </comment>
    <comment ref="C1" authorId="0">
      <text>
        <r>
          <rPr>
            <b/>
            <sz val="8"/>
            <rFont val="Tahoma"/>
            <family val="0"/>
          </rPr>
          <t>Cells with red triangle markers contain detailed comments.</t>
        </r>
      </text>
    </comment>
    <comment ref="C8" authorId="0">
      <text>
        <r>
          <rPr>
            <b/>
            <sz val="8"/>
            <rFont val="Tahoma"/>
            <family val="0"/>
          </rPr>
          <t>This cell value can be adjusted manually.</t>
        </r>
      </text>
    </comment>
    <comment ref="C9" authorId="0">
      <text>
        <r>
          <rPr>
            <b/>
            <sz val="8"/>
            <rFont val="Tahoma"/>
            <family val="0"/>
          </rPr>
          <t>This cell value can be adjusted manually.</t>
        </r>
      </text>
    </comment>
    <comment ref="C10" authorId="0">
      <text>
        <r>
          <rPr>
            <b/>
            <sz val="8"/>
            <rFont val="Tahoma"/>
            <family val="0"/>
          </rPr>
          <t>This cell value can be adjusted manually.</t>
        </r>
      </text>
    </comment>
    <comment ref="C11" authorId="0">
      <text>
        <r>
          <rPr>
            <b/>
            <sz val="8"/>
            <rFont val="Tahoma"/>
            <family val="0"/>
          </rPr>
          <t>This cell value can be adjusted manually.</t>
        </r>
      </text>
    </comment>
    <comment ref="C16" authorId="0">
      <text>
        <r>
          <rPr>
            <b/>
            <sz val="8"/>
            <rFont val="Tahoma"/>
            <family val="0"/>
          </rPr>
          <t>This cell value can be adjusted manually.</t>
        </r>
      </text>
    </comment>
    <comment ref="C17" authorId="0">
      <text>
        <r>
          <rPr>
            <b/>
            <sz val="8"/>
            <rFont val="Tahoma"/>
            <family val="0"/>
          </rPr>
          <t>This cell value can be adjusted manually.</t>
        </r>
      </text>
    </comment>
    <comment ref="C18" authorId="0">
      <text>
        <r>
          <rPr>
            <b/>
            <sz val="8"/>
            <rFont val="Tahoma"/>
            <family val="0"/>
          </rPr>
          <t>This cell value can be adjusted manually.</t>
        </r>
      </text>
    </comment>
    <comment ref="B30" authorId="0">
      <text>
        <r>
          <rPr>
            <b/>
            <sz val="8"/>
            <rFont val="Tahoma"/>
            <family val="0"/>
          </rPr>
          <t>Servo arm/chordline angle at 0% stick (degrees)</t>
        </r>
      </text>
    </comment>
    <comment ref="B4" authorId="0">
      <text>
        <r>
          <rPr>
            <b/>
            <sz val="8"/>
            <rFont val="Tahoma"/>
            <family val="0"/>
          </rPr>
          <t>Servo distance above/below chordline (cm)</t>
        </r>
      </text>
    </comment>
    <comment ref="B25" authorId="0">
      <text>
        <r>
          <rPr>
            <b/>
            <sz val="8"/>
            <rFont val="Tahoma"/>
            <family val="0"/>
          </rPr>
          <t>Maximum required servo torque (ounce inches)</t>
        </r>
      </text>
    </comment>
    <comment ref="B31" authorId="0">
      <text>
        <r>
          <rPr>
            <b/>
            <sz val="8"/>
            <rFont val="Tahoma"/>
            <family val="0"/>
          </rPr>
          <t>Servo arm length (cm)</t>
        </r>
      </text>
    </comment>
    <comment ref="B29" authorId="0">
      <text>
        <r>
          <rPr>
            <b/>
            <sz val="8"/>
            <rFont val="Tahoma"/>
            <family val="0"/>
          </rPr>
          <t>Servo arm/pushrod angle at 0% stick (degrees)</t>
        </r>
      </text>
    </comment>
    <comment ref="B27" authorId="0">
      <text>
        <r>
          <rPr>
            <b/>
            <sz val="8"/>
            <rFont val="Tahoma"/>
            <family val="0"/>
          </rPr>
          <t>Maximum force exerted on/by pushrod (pounds force)</t>
        </r>
      </text>
    </comment>
    <comment ref="B26" authorId="0">
      <text>
        <r>
          <rPr>
            <b/>
            <sz val="8"/>
            <rFont val="Tahoma"/>
            <family val="0"/>
          </rPr>
          <t>Maximum torque on control horn (ounce inches)</t>
        </r>
      </text>
    </comment>
    <comment ref="B32" authorId="0">
      <text>
        <r>
          <rPr>
            <b/>
            <sz val="8"/>
            <rFont val="Tahoma"/>
            <family val="0"/>
          </rPr>
          <t>Pushrod length (cm)</t>
        </r>
      </text>
    </comment>
    <comment ref="B16" authorId="0">
      <text>
        <r>
          <rPr>
            <b/>
            <sz val="8"/>
            <rFont val="Tahoma"/>
            <family val="0"/>
          </rPr>
          <t>Maximum airspeed (miles / hour)</t>
        </r>
      </text>
    </comment>
    <comment ref="C3" authorId="0">
      <text>
        <r>
          <rPr>
            <b/>
            <sz val="8"/>
            <rFont val="Tahoma"/>
            <family val="0"/>
          </rPr>
          <t>This cell value can be adjusted manually.</t>
        </r>
      </text>
    </comment>
  </commentList>
</comments>
</file>

<file path=xl/comments6.xml><?xml version="1.0" encoding="utf-8"?>
<comments xmlns="http://schemas.openxmlformats.org/spreadsheetml/2006/main">
  <authors>
    <author>Craig Tenney</author>
  </authors>
  <commentList>
    <comment ref="C22" authorId="0">
      <text>
        <r>
          <rPr>
            <b/>
            <sz val="8"/>
            <rFont val="Tahoma"/>
            <family val="0"/>
          </rPr>
          <t>Minimize this value to avoid flutter and reduce the influence of engine vibration and G's on control surface position.</t>
        </r>
      </text>
    </comment>
    <comment ref="C21" authorId="0">
      <text>
        <r>
          <rPr>
            <b/>
            <sz val="8"/>
            <rFont val="Tahoma"/>
            <family val="0"/>
          </rPr>
          <t>Minimize this value for faster servo response and less chance of sustained surface oscillation (one form of flutter).</t>
        </r>
      </text>
    </comment>
  </commentList>
</comments>
</file>

<file path=xl/sharedStrings.xml><?xml version="1.0" encoding="utf-8"?>
<sst xmlns="http://schemas.openxmlformats.org/spreadsheetml/2006/main" count="463" uniqueCount="348">
  <si>
    <t>Rc+</t>
  </si>
  <si>
    <t>Rc-</t>
  </si>
  <si>
    <t>Rs+</t>
  </si>
  <si>
    <t>Rs-</t>
  </si>
  <si>
    <t>Lc</t>
  </si>
  <si>
    <t>Aco</t>
  </si>
  <si>
    <t>Ac+</t>
  </si>
  <si>
    <t>Ac-</t>
  </si>
  <si>
    <t>K+</t>
  </si>
  <si>
    <t>K-</t>
  </si>
  <si>
    <t>A</t>
  </si>
  <si>
    <t>B</t>
  </si>
  <si>
    <t>Aro</t>
  </si>
  <si>
    <t>Aso</t>
  </si>
  <si>
    <t>As+</t>
  </si>
  <si>
    <t>As-</t>
  </si>
  <si>
    <t>Oc</t>
  </si>
  <si>
    <t>Xo</t>
  </si>
  <si>
    <t>Yo</t>
  </si>
  <si>
    <t>X+</t>
  </si>
  <si>
    <t>Y+</t>
  </si>
  <si>
    <t>X-</t>
  </si>
  <si>
    <t>Y-</t>
  </si>
  <si>
    <t>Ls</t>
  </si>
  <si>
    <t>Xs</t>
  </si>
  <si>
    <t>Ys</t>
  </si>
  <si>
    <t>Xc</t>
  </si>
  <si>
    <t>Yc</t>
  </si>
  <si>
    <t>Lp</t>
  </si>
  <si>
    <t>AoA</t>
  </si>
  <si>
    <t>C</t>
  </si>
  <si>
    <t>HL</t>
  </si>
  <si>
    <t>CL</t>
  </si>
  <si>
    <t>SC</t>
  </si>
  <si>
    <t>SL</t>
  </si>
  <si>
    <t>TE</t>
  </si>
  <si>
    <t>LE</t>
  </si>
  <si>
    <t>CB</t>
  </si>
  <si>
    <t>X</t>
  </si>
  <si>
    <t>Y</t>
  </si>
  <si>
    <t>Stick</t>
  </si>
  <si>
    <t>As</t>
  </si>
  <si>
    <t>Ac</t>
  </si>
  <si>
    <t>Ac2</t>
  </si>
  <si>
    <t>Ac1</t>
  </si>
  <si>
    <t>X hl</t>
  </si>
  <si>
    <t>Y hl</t>
  </si>
  <si>
    <t>Y sc</t>
  </si>
  <si>
    <t>X sc</t>
  </si>
  <si>
    <t>atan(B/A)</t>
  </si>
  <si>
    <t>Max</t>
  </si>
  <si>
    <t>Min</t>
  </si>
  <si>
    <t>S rev</t>
  </si>
  <si>
    <t>A flip</t>
  </si>
  <si>
    <t>fYs</t>
  </si>
  <si>
    <t>fXc</t>
  </si>
  <si>
    <t>fYc</t>
  </si>
  <si>
    <t>fOc</t>
  </si>
  <si>
    <t>fAoA</t>
  </si>
  <si>
    <t>fStick</t>
  </si>
  <si>
    <t>cm</t>
  </si>
  <si>
    <t>deg</t>
  </si>
  <si>
    <t>mph</t>
  </si>
  <si>
    <t>oz-in</t>
  </si>
  <si>
    <t>lbf</t>
  </si>
  <si>
    <t>%</t>
  </si>
  <si>
    <t>Acp</t>
  </si>
  <si>
    <t>Asp</t>
  </si>
  <si>
    <t>Aspo</t>
  </si>
  <si>
    <t>Tc</t>
  </si>
  <si>
    <t>Ts</t>
  </si>
  <si>
    <t>Fp</t>
  </si>
  <si>
    <t>Ts max</t>
  </si>
  <si>
    <t>Tc max</t>
  </si>
  <si>
    <t>Fp max</t>
  </si>
  <si>
    <t>Vmax</t>
  </si>
  <si>
    <t>Cavg</t>
  </si>
  <si>
    <t>Lavg</t>
  </si>
  <si>
    <t>TEdef</t>
  </si>
  <si>
    <t>CSang</t>
  </si>
  <si>
    <t>Output Data:</t>
  </si>
  <si>
    <t>Control Geometry Data:</t>
  </si>
  <si>
    <t>Stuff:</t>
  </si>
  <si>
    <t>Pushrod Force (lbf) vs. Deflection</t>
  </si>
  <si>
    <t>Control Horn Torque (oz-in) vs. Deflection</t>
  </si>
  <si>
    <t>Req'd Servo Torque (oz-in) vs. Deflection</t>
  </si>
  <si>
    <t>Maximum airspeed (mi/hr)</t>
  </si>
  <si>
    <t>Servo Torque Required for Up/Right (+) Surface Deflections</t>
  </si>
  <si>
    <t>Servo Torque Required for Down/Left (-) Surface Deflections</t>
  </si>
  <si>
    <t>Data for Control Geometry Plots</t>
  </si>
  <si>
    <t>Data for Control Deflection Plots</t>
  </si>
  <si>
    <t>Aileron(s)</t>
  </si>
  <si>
    <t>Elevator(s)</t>
  </si>
  <si>
    <t>Rudder</t>
  </si>
  <si>
    <t>Airspeed (mi/hr):</t>
  </si>
  <si>
    <t>HLx</t>
  </si>
  <si>
    <t>HLy</t>
  </si>
  <si>
    <t>P</t>
  </si>
  <si>
    <t>Hc</t>
  </si>
  <si>
    <t>L</t>
  </si>
  <si>
    <t>Pos</t>
  </si>
  <si>
    <t>Neg</t>
  </si>
  <si>
    <t>Average control surface chord (cm)</t>
  </si>
  <si>
    <t>Surface</t>
  </si>
  <si>
    <t>Servo</t>
  </si>
  <si>
    <t>TE def.</t>
  </si>
  <si>
    <t>Average control surface length (cm)</t>
  </si>
  <si>
    <t>Angle</t>
  </si>
  <si>
    <t>Required Servo Torque (oz-in)</t>
  </si>
  <si>
    <t>(cm)</t>
  </si>
  <si>
    <t>(%)</t>
  </si>
  <si>
    <t>Ax</t>
  </si>
  <si>
    <t>Ex</t>
  </si>
  <si>
    <t>Rx</t>
  </si>
  <si>
    <t>Ay</t>
  </si>
  <si>
    <t>Ey</t>
  </si>
  <si>
    <t>Ry</t>
  </si>
  <si>
    <t>Ail</t>
  </si>
  <si>
    <t>Maximum up/right (+) rotation of servo arm (degrees)</t>
  </si>
  <si>
    <t>Hs</t>
  </si>
  <si>
    <t>Maximum down/left (-) rotation of servo arm (degrees)</t>
  </si>
  <si>
    <t>Neutral</t>
  </si>
  <si>
    <t>Maximum up/right (+) rotation of control surface (degrees)</t>
  </si>
  <si>
    <t>Maximum down/left (-) rotation of control surface (degrees)</t>
  </si>
  <si>
    <t>SA</t>
  </si>
  <si>
    <t>CA</t>
  </si>
  <si>
    <t>CH</t>
  </si>
  <si>
    <t>Pushrod to control horn angle (A in figure, default 90 degrees)</t>
  </si>
  <si>
    <t>Elev</t>
  </si>
  <si>
    <t>Maximum required torque at maximum airspeed (oz-in)</t>
  </si>
  <si>
    <t>Virtual pushrod to control horn angle at neutral (degrees)</t>
  </si>
  <si>
    <t>Required pushrod to servo arm angle at neutral (degrees)</t>
  </si>
  <si>
    <t>Required servo arm length (cm)</t>
  </si>
  <si>
    <t>Rud</t>
  </si>
  <si>
    <t>stalled servo:  required torque exceeds available torque</t>
  </si>
  <si>
    <t>Sample optimization of aileron control setup for minimum servo demand:</t>
  </si>
  <si>
    <t>1  To limit total aileron servo throw to 120 degrees, enter the formula (=120-H7) in cell H8.</t>
  </si>
  <si>
    <t>2  Use the spin button in cell H7 to vary aileron servo throw.</t>
  </si>
  <si>
    <t>3  Watch cell H15 for maximum required aileron servo torque at maximum airspeed.</t>
  </si>
  <si>
    <t>4  Choose the servo throw that minimizes the maximum required torque.</t>
  </si>
  <si>
    <t>(Note: The maximum required torque is the highest point of the red OR blue line in the graph.)</t>
  </si>
  <si>
    <r>
      <t>Optional:</t>
    </r>
    <r>
      <rPr>
        <sz val="10"/>
        <rFont val="Arial"/>
        <family val="2"/>
      </rPr>
      <t xml:space="preserve">  Maximum available servo torque (oz-in)</t>
    </r>
  </si>
  <si>
    <r>
      <t>Optional:</t>
    </r>
    <r>
      <rPr>
        <sz val="10"/>
        <rFont val="Arial"/>
        <family val="2"/>
      </rPr>
      <t xml:space="preserve"> Control horn distance behind hingeline (D in figure, cm)</t>
    </r>
  </si>
  <si>
    <r>
      <t>Optional:</t>
    </r>
    <r>
      <rPr>
        <sz val="10"/>
        <rFont val="Arial"/>
        <family val="2"/>
      </rPr>
      <t xml:space="preserve"> Control linkage distance from chordline (H in figure, cm)</t>
    </r>
  </si>
  <si>
    <r>
      <t>Hint:</t>
    </r>
    <r>
      <rPr>
        <sz val="10"/>
        <rFont val="Arial"/>
        <family val="2"/>
      </rPr>
      <t xml:space="preserve"> see sample optimization routine below</t>
    </r>
  </si>
  <si>
    <t>This spreadsheet predicts required servo torques using the following assumptions:</t>
  </si>
  <si>
    <t>Please note:</t>
  </si>
  <si>
    <t>s = servo arm angle from neutral</t>
  </si>
  <si>
    <t>S = control surface angle from neutral</t>
  </si>
  <si>
    <t>M = molecular weight of air (~28.6 g/mol)</t>
  </si>
  <si>
    <t>P = air pressure (1 atm)</t>
  </si>
  <si>
    <t>C = average chord length of control surface</t>
  </si>
  <si>
    <t>L = average length of control surface</t>
  </si>
  <si>
    <t>V = airspeed</t>
  </si>
  <si>
    <t>T = air temperature (~290 K)</t>
  </si>
  <si>
    <t>t = servo torque</t>
  </si>
  <si>
    <t>Just be sure to give proper credit to its creator.</t>
  </si>
  <si>
    <t>Feel free to share this spreadsheet and model with other individuals for nonprofit use.</t>
  </si>
  <si>
    <t>7 The wing, stab, fuse, and control surfaces are thin, flat slabs.</t>
  </si>
  <si>
    <t>2 Angular velocity and acceleration of the aircraft is zero.</t>
  </si>
  <si>
    <t>4 Conditions are:  sea level, zero humidity, moderate (~55 F) temperature.</t>
  </si>
  <si>
    <t>6 Control mechanisms are frictionless and surfaces are mass-balanced.</t>
  </si>
  <si>
    <t>Maximum deflection of servo arm from center (degrees)</t>
  </si>
  <si>
    <t>Maximum deflection of control surface from center (degrees)</t>
  </si>
  <si>
    <t>8 No aerodynamic counterbalances are used.  (Account for these manually, if desired.)</t>
  </si>
  <si>
    <t>Servo Torque Required for Various Intermediate Surface Deflections</t>
  </si>
  <si>
    <r>
      <t>A = sin(S) * tan</t>
    </r>
    <r>
      <rPr>
        <sz val="10"/>
        <rFont val="Arial"/>
        <family val="2"/>
      </rPr>
      <t>(S) / tan(s)</t>
    </r>
  </si>
  <si>
    <r>
      <t>R = ideal gas constant (82.056 atm 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/ mol K)</t>
    </r>
  </si>
  <si>
    <t>Aho</t>
  </si>
  <si>
    <t>Point Here</t>
  </si>
  <si>
    <r>
      <t>Control Linkage Diagram</t>
    </r>
    <r>
      <rPr>
        <sz val="10"/>
        <rFont val="Arial"/>
        <family val="2"/>
      </rPr>
      <t xml:space="preserve"> (Click on the diagram to recenter the image.)</t>
    </r>
  </si>
  <si>
    <t>Asco</t>
  </si>
  <si>
    <t>slack</t>
  </si>
  <si>
    <t>mm</t>
  </si>
  <si>
    <r>
      <t>D</t>
    </r>
    <r>
      <rPr>
        <sz val="10"/>
        <rFont val="Arial"/>
        <family val="2"/>
      </rPr>
      <t>Ac</t>
    </r>
  </si>
  <si>
    <t>Offset at either the servo or control horn may be required to eliminate binding.</t>
  </si>
  <si>
    <t>Positive values indicate slack.  Negative values indicate binding.</t>
  </si>
  <si>
    <t>The results are coarse, to say the least, but it's better than a blind guess.</t>
  </si>
  <si>
    <t>3 Air flow may be modelled using the concept of dynamic pressure.</t>
  </si>
  <si>
    <t>1 The angle of attack of the wing, stab, or fuse is zero (relative to the airflow).*</t>
  </si>
  <si>
    <t>5 Control linkages have zero offset at hingeline and are perpendicular to horns at neutral.**</t>
  </si>
  <si>
    <t>9 The pushrods are significantly longer than the servo and control horns.*</t>
  </si>
  <si>
    <t>* This assumption dropped in "ServoPlus" worksheet.</t>
  </si>
  <si>
    <t>** This assumption dropped in "Offset &amp; Differential" and "ServoPlus" worksheets.</t>
  </si>
  <si>
    <t>The calculations are completely theoretical.  No empirical "tweaking" has been done.</t>
  </si>
  <si>
    <t>The assumptions (except #6) should generally yield conservative (high) predicted torques.</t>
  </si>
  <si>
    <t>Extreme control throws are probably not practical at high speeds.</t>
  </si>
  <si>
    <t>This model is best used for comparisons.  No guarantees are made of its validity.</t>
  </si>
  <si>
    <t>Maximum required servo torque may occur at LESS than maximum throw.</t>
  </si>
  <si>
    <t>The mathematical model:    t = (AMPC2LV2) / (4RT)      where</t>
  </si>
  <si>
    <t>T=</t>
  </si>
  <si>
    <t>F</t>
  </si>
  <si>
    <t>K</t>
  </si>
  <si>
    <t>Cp/Cv=</t>
  </si>
  <si>
    <t>speed of sound = sqrt[(R T Cp) / (M Cv)]</t>
  </si>
  <si>
    <t>Cp/Cv for air from Perry's ChE's Handbook</t>
  </si>
  <si>
    <t>Assuming ideal gas behavior:</t>
  </si>
  <si>
    <t>Theoretical max level flight speed based on prop pitch and rpm (and prop tip speed thrown in, too)</t>
  </si>
  <si>
    <t>Condense Axes</t>
  </si>
  <si>
    <t>Stickmin</t>
  </si>
  <si>
    <t>Stickmax</t>
  </si>
  <si>
    <t>Unit</t>
  </si>
  <si>
    <r>
      <t xml:space="preserve">Deflection vs. Stick Pos. </t>
    </r>
    <r>
      <rPr>
        <sz val="10"/>
        <rFont val="Arial"/>
        <family val="2"/>
      </rPr>
      <t>(Click to toggle)</t>
    </r>
  </si>
  <si>
    <t>Torque, Force, and Deflection Data:</t>
  </si>
  <si>
    <t>Asco = 90 degrees (see Output Data) corresponds to zero servo offset (i.e. straight arms).</t>
  </si>
  <si>
    <t>Drag, airfoils, and gravity are ignored (realistic, eh?).</t>
  </si>
  <si>
    <t>High prop tip speeds make for noisy airplanes.</t>
  </si>
  <si>
    <r>
      <t>Requires:</t>
    </r>
    <r>
      <rPr>
        <sz val="10"/>
        <rFont val="Arial"/>
        <family val="2"/>
      </rPr>
      <t xml:space="preserve">  Equal +/- servo throw (Rs+ = Rs-) and servo on centerline (Ys = 0)</t>
    </r>
  </si>
  <si>
    <r>
      <t>Assumed:</t>
    </r>
    <r>
      <rPr>
        <sz val="10"/>
        <rFont val="Arial"/>
        <family val="2"/>
      </rPr>
      <t xml:space="preserve">  Pull cables are equal length and connected to either side of servo wheel or arm.</t>
    </r>
  </si>
  <si>
    <t>Click any plot below to toggle +/- axis overlap.</t>
  </si>
  <si>
    <r>
      <t>Pull-Pull Analysis</t>
    </r>
    <r>
      <rPr>
        <sz val="10"/>
        <rFont val="Arial"/>
        <family val="2"/>
      </rPr>
      <t xml:space="preserve"> (click plot to toggle between slack and "play")</t>
    </r>
  </si>
  <si>
    <r>
      <t>Note:</t>
    </r>
    <r>
      <rPr>
        <sz val="10"/>
        <rFont val="Arial"/>
        <family val="2"/>
      </rPr>
      <t xml:space="preserve"> You can make copies of this worksheet in this workbook for use with different control surfaces.</t>
    </r>
  </si>
  <si>
    <t>Input Data:</t>
  </si>
  <si>
    <t>Pitch (in)</t>
  </si>
  <si>
    <t>("High" seems to be very roughly Mach 0.6+.)</t>
  </si>
  <si>
    <t>M ~ 28.6 g/mol for dry air</t>
  </si>
  <si>
    <t>Propeller Brand</t>
  </si>
  <si>
    <t>Kp</t>
  </si>
  <si>
    <t>Top Flite, Zinger, Master Airscrew</t>
  </si>
  <si>
    <t>APC</t>
  </si>
  <si>
    <t>thin carbon fiber folders</t>
  </si>
  <si>
    <t>www.ezonemag.com/articles/1998/nov/ctower/jtb1198.htm</t>
  </si>
  <si>
    <t>HP=Kp*P*D^4*R^3</t>
  </si>
  <si>
    <t>HP Calculation for various propellers</t>
  </si>
  <si>
    <t>Horsepower</t>
  </si>
  <si>
    <t>kRPM</t>
  </si>
  <si>
    <t>Airspeed (mph)</t>
  </si>
  <si>
    <t>Tip speed (Mach)</t>
  </si>
  <si>
    <t>Diam. (in)</t>
  </si>
  <si>
    <t>RPM (1000's) =</t>
  </si>
  <si>
    <t>Prop Load (Horsepower)</t>
  </si>
  <si>
    <t>Kp =</t>
  </si>
  <si>
    <t>Diam/Pitch (in.)</t>
  </si>
  <si>
    <t>Airplane</t>
  </si>
  <si>
    <t>Pounds</t>
  </si>
  <si>
    <t>Ounces</t>
  </si>
  <si>
    <t>Wing Area (sq in)</t>
  </si>
  <si>
    <t>Wing Loading (oz / sq ft)</t>
  </si>
  <si>
    <t>Cubic Loading (oz / cu ft)</t>
  </si>
  <si>
    <t>Aeroworks 25% Edge</t>
  </si>
  <si>
    <t>Aeroworks 40% Giles</t>
  </si>
  <si>
    <t>Aeroworks Extra Profile</t>
  </si>
  <si>
    <t>Carden 30% Cap 232</t>
  </si>
  <si>
    <t>Carden 35% Cap 232</t>
  </si>
  <si>
    <t>CGM Extra 300</t>
  </si>
  <si>
    <t>CGM Sukhoi</t>
  </si>
  <si>
    <t>CGM Ultimate</t>
  </si>
  <si>
    <t>DH Models Staudacher</t>
  </si>
  <si>
    <t>GP Cap 232</t>
  </si>
  <si>
    <t>GP Easy Sport 60</t>
  </si>
  <si>
    <t>GP Electrostreak</t>
  </si>
  <si>
    <t>GP Giant Aeromaster</t>
  </si>
  <si>
    <t>GP Super Sportster 40</t>
  </si>
  <si>
    <t>GP Ultra Sport 60</t>
  </si>
  <si>
    <t>Lanier 1/3 Laser</t>
  </si>
  <si>
    <t>Lanier Cap 232</t>
  </si>
  <si>
    <t>Midwest Cap 232</t>
  </si>
  <si>
    <t>Morris the Knife</t>
  </si>
  <si>
    <t>Ohio 62" Ultimate</t>
  </si>
  <si>
    <t>Ohio 70" Extra 300s</t>
  </si>
  <si>
    <t>Ohio 74" Giles 202</t>
  </si>
  <si>
    <t>Ohio 84" Extra 260</t>
  </si>
  <si>
    <t>Ohio 87" Extra 300</t>
  </si>
  <si>
    <t>PMA Flying Machine</t>
  </si>
  <si>
    <t>Sig Fazer</t>
  </si>
  <si>
    <t>Sig Hog Bipe</t>
  </si>
  <si>
    <t>Sig Kadet LT40</t>
  </si>
  <si>
    <t>Sig Ultimate Fun Fly</t>
  </si>
  <si>
    <t>Sig Wonder</t>
  </si>
  <si>
    <t>Top Flite P47</t>
  </si>
  <si>
    <t>Tower Uproar</t>
  </si>
  <si>
    <t>Troy One Design</t>
  </si>
  <si>
    <t>Troy Staudacher</t>
  </si>
  <si>
    <t>Sig Kadet LT25</t>
  </si>
  <si>
    <t>Feather</t>
  </si>
  <si>
    <t>Floater</t>
  </si>
  <si>
    <t>Flyer</t>
  </si>
  <si>
    <t>Faller</t>
  </si>
  <si>
    <t>Roughly:</t>
  </si>
  <si>
    <t>Torque (ft lb)</t>
  </si>
  <si>
    <t>GP Fun One</t>
  </si>
  <si>
    <t>GP Piper Cub 40</t>
  </si>
  <si>
    <t>Control horn height above hingeline</t>
  </si>
  <si>
    <t>Servo arm length</t>
  </si>
  <si>
    <t>Input</t>
  </si>
  <si>
    <t>Output</t>
  </si>
  <si>
    <t>Assumptions</t>
  </si>
  <si>
    <t>Control horn / servo arm length ratio</t>
  </si>
  <si>
    <t>oz in</t>
  </si>
  <si>
    <t>degrees</t>
  </si>
  <si>
    <t>g</t>
  </si>
  <si>
    <t>Hz</t>
  </si>
  <si>
    <t>RPM</t>
  </si>
  <si>
    <t>N m/radian</t>
  </si>
  <si>
    <t>Servo "stiffness" constant</t>
  </si>
  <si>
    <t xml:space="preserve">Control surface "stiffness" constant K </t>
  </si>
  <si>
    <t>Linkage stress at max torque and zero displacement</t>
  </si>
  <si>
    <t>Degrees</t>
  </si>
  <si>
    <t>M denotes moving torque</t>
  </si>
  <si>
    <t>H denotes holding torque</t>
  </si>
  <si>
    <t>All results are experimental</t>
  </si>
  <si>
    <t>Supplied servo torque versus displacement from center</t>
  </si>
  <si>
    <t>Reference servo torque</t>
  </si>
  <si>
    <t>Displacement to achieve reference torque</t>
  </si>
  <si>
    <t>Half the rated torque is often applied about 5 degrees off center.</t>
  </si>
  <si>
    <t>When using standard (non-digital) servos, pick one with twice the torque you expect to need to minimize surface blow-back.</t>
  </si>
  <si>
    <t>The rated torque will typically be applied only when the servo is 10-15+ degrees from the desired position.</t>
  </si>
  <si>
    <t>M4 ts51</t>
  </si>
  <si>
    <t>M4 ts11</t>
  </si>
  <si>
    <t>M4 ts57</t>
  </si>
  <si>
    <t>M4 hs422</t>
  </si>
  <si>
    <t>M4 jr517</t>
  </si>
  <si>
    <t>4 denotes 4 cell (4.8V) battery</t>
  </si>
  <si>
    <t>5 denotes 5 cell (6.0V) battery</t>
  </si>
  <si>
    <t>M5 ts11</t>
  </si>
  <si>
    <t>M5 ts57</t>
  </si>
  <si>
    <t>M5 hs422</t>
  </si>
  <si>
    <t>M5 jr517</t>
  </si>
  <si>
    <t>M5 ts51</t>
  </si>
  <si>
    <t>H4 ts51</t>
  </si>
  <si>
    <t>H4 ts11</t>
  </si>
  <si>
    <t>H4 ts57</t>
  </si>
  <si>
    <t>H4 hs422</t>
  </si>
  <si>
    <t>H4 jr517</t>
  </si>
  <si>
    <t>H5 ts11</t>
  </si>
  <si>
    <t>H5 ts57</t>
  </si>
  <si>
    <t>H5 hs422</t>
  </si>
  <si>
    <t>H5 jr517</t>
  </si>
  <si>
    <t>H5 ts51</t>
  </si>
  <si>
    <t>Servo torque versus angular displacement is linear.</t>
  </si>
  <si>
    <t>Resonant frequency</t>
  </si>
  <si>
    <t>Mass of counterbalance</t>
  </si>
  <si>
    <t>Distance from hingeline to counterbalance CofG</t>
  </si>
  <si>
    <t>Net moment of inertia I</t>
  </si>
  <si>
    <t>Net moment</t>
  </si>
  <si>
    <t>g cm^2</t>
  </si>
  <si>
    <t>g cm</t>
  </si>
  <si>
    <t>Mass of main control surface</t>
  </si>
  <si>
    <t>Distance from hingeline to main control surface CofG</t>
  </si>
  <si>
    <t>Resonant frequency = sqroot(2*K/M) / (2*pi*L) = sqroot(2*K/I)/(2*pi)</t>
  </si>
  <si>
    <t>Mass of control hardware</t>
  </si>
  <si>
    <t>Excitation movement is perpendicular to surface.</t>
  </si>
  <si>
    <t>Airframe, control surface, linkages, et cetera are infinitely rigid.</t>
  </si>
  <si>
    <t>Angular "buzz" displacements are "small".</t>
  </si>
  <si>
    <t>Sig Something Extra</t>
  </si>
  <si>
    <t>Prop Noise (dBA)</t>
  </si>
  <si>
    <t>For APC props and 75-105 dBA (from Ian Maclaughlin)</t>
  </si>
  <si>
    <t>Noise Level(dBA)=0.3x[Dia(inches)xRPM(1000's)]+Pitch(inches)+48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</si>
</sst>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0000\ "/>
  </numFmts>
  <fonts count="29">
    <font>
      <sz val="10"/>
      <name val="Arial"/>
      <family val="0"/>
    </font>
    <font>
      <sz val="8"/>
      <name val="Tahoma"/>
      <family val="2"/>
    </font>
    <font>
      <b/>
      <sz val="8"/>
      <name val="Tahoma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sz val="8"/>
      <name val="Arial"/>
      <family val="0"/>
    </font>
    <font>
      <sz val="5.75"/>
      <name val="Arial"/>
      <family val="0"/>
    </font>
    <font>
      <sz val="5.5"/>
      <name val="Arial"/>
      <family val="0"/>
    </font>
    <font>
      <sz val="8.25"/>
      <name val="Arial"/>
      <family val="2"/>
    </font>
    <font>
      <sz val="8.5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0"/>
    </font>
    <font>
      <sz val="10"/>
      <name val="Symbol"/>
      <family val="1"/>
    </font>
    <font>
      <b/>
      <sz val="9"/>
      <name val="Arial"/>
      <family val="2"/>
    </font>
    <font>
      <sz val="8.5"/>
      <color indexed="10"/>
      <name val="Arial"/>
      <family val="2"/>
    </font>
    <font>
      <sz val="8.25"/>
      <color indexed="12"/>
      <name val="Arial"/>
      <family val="2"/>
    </font>
    <font>
      <sz val="8.25"/>
      <color indexed="13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 locked="0"/>
    </xf>
    <xf numFmtId="9" fontId="0" fillId="2" borderId="0" xfId="21" applyFont="1" applyFill="1" applyAlignment="1" applyProtection="1">
      <alignment horizontal="center"/>
      <protection hidden="1"/>
    </xf>
    <xf numFmtId="1" fontId="0" fillId="2" borderId="0" xfId="0" applyNumberFormat="1" applyFont="1" applyFill="1" applyAlignment="1" applyProtection="1">
      <alignment horizontal="center"/>
      <protection hidden="1"/>
    </xf>
    <xf numFmtId="164" fontId="0" fillId="2" borderId="0" xfId="0" applyNumberFormat="1" applyFont="1" applyFill="1" applyAlignment="1" applyProtection="1">
      <alignment horizontal="center"/>
      <protection hidden="1"/>
    </xf>
    <xf numFmtId="2" fontId="0" fillId="2" borderId="0" xfId="0" applyNumberFormat="1" applyFont="1" applyFill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0" fillId="2" borderId="0" xfId="0" applyFont="1" applyFill="1" applyAlignment="1" applyProtection="1">
      <alignment horizontal="left"/>
      <protection hidden="1"/>
    </xf>
    <xf numFmtId="164" fontId="0" fillId="2" borderId="0" xfId="0" applyNumberFormat="1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center"/>
      <protection hidden="1"/>
    </xf>
    <xf numFmtId="164" fontId="3" fillId="2" borderId="0" xfId="0" applyNumberFormat="1" applyFont="1" applyFill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0" fillId="3" borderId="1" xfId="0" applyFont="1" applyFill="1" applyBorder="1" applyAlignment="1" applyProtection="1">
      <alignment horizontal="center"/>
      <protection hidden="1"/>
    </xf>
    <xf numFmtId="0" fontId="0" fillId="3" borderId="2" xfId="0" applyFont="1" applyFill="1" applyBorder="1" applyAlignment="1" applyProtection="1">
      <alignment horizontal="center"/>
      <protection hidden="1"/>
    </xf>
    <xf numFmtId="0" fontId="0" fillId="3" borderId="3" xfId="0" applyFont="1" applyFill="1" applyBorder="1" applyAlignment="1" applyProtection="1">
      <alignment horizontal="center"/>
      <protection hidden="1"/>
    </xf>
    <xf numFmtId="164" fontId="0" fillId="3" borderId="4" xfId="0" applyNumberFormat="1" applyFont="1" applyFill="1" applyBorder="1" applyAlignment="1" applyProtection="1">
      <alignment horizontal="center"/>
      <protection hidden="1"/>
    </xf>
    <xf numFmtId="164" fontId="0" fillId="3" borderId="5" xfId="0" applyNumberFormat="1" applyFont="1" applyFill="1" applyBorder="1" applyAlignment="1" applyProtection="1">
      <alignment horizontal="center"/>
      <protection hidden="1"/>
    </xf>
    <xf numFmtId="0" fontId="0" fillId="3" borderId="6" xfId="0" applyFont="1" applyFill="1" applyBorder="1" applyAlignment="1" applyProtection="1">
      <alignment horizontal="center"/>
      <protection hidden="1"/>
    </xf>
    <xf numFmtId="0" fontId="0" fillId="3" borderId="7" xfId="0" applyFont="1" applyFill="1" applyBorder="1" applyAlignment="1" applyProtection="1">
      <alignment horizontal="center"/>
      <protection hidden="1"/>
    </xf>
    <xf numFmtId="0" fontId="0" fillId="3" borderId="8" xfId="0" applyFont="1" applyFill="1" applyBorder="1" applyAlignment="1" applyProtection="1">
      <alignment horizontal="center"/>
      <protection hidden="1"/>
    </xf>
    <xf numFmtId="0" fontId="0" fillId="3" borderId="9" xfId="0" applyFont="1" applyFill="1" applyBorder="1" applyAlignment="1" applyProtection="1">
      <alignment horizontal="center"/>
      <protection hidden="1"/>
    </xf>
    <xf numFmtId="164" fontId="0" fillId="3" borderId="9" xfId="0" applyNumberFormat="1" applyFont="1" applyFill="1" applyBorder="1" applyAlignment="1" applyProtection="1">
      <alignment horizontal="center"/>
      <protection hidden="1"/>
    </xf>
    <xf numFmtId="164" fontId="0" fillId="3" borderId="8" xfId="0" applyNumberFormat="1" applyFont="1" applyFill="1" applyBorder="1" applyAlignment="1" applyProtection="1">
      <alignment horizontal="center"/>
      <protection hidden="1"/>
    </xf>
    <xf numFmtId="0" fontId="0" fillId="3" borderId="10" xfId="0" applyFont="1" applyFill="1" applyBorder="1" applyAlignment="1" applyProtection="1">
      <alignment horizontal="center"/>
      <protection hidden="1"/>
    </xf>
    <xf numFmtId="0" fontId="0" fillId="3" borderId="11" xfId="0" applyFont="1" applyFill="1" applyBorder="1" applyAlignment="1" applyProtection="1">
      <alignment horizontal="center"/>
      <protection hidden="1"/>
    </xf>
    <xf numFmtId="0" fontId="0" fillId="3" borderId="12" xfId="0" applyFont="1" applyFill="1" applyBorder="1" applyAlignment="1" applyProtection="1">
      <alignment horizontal="center"/>
      <protection hidden="1"/>
    </xf>
    <xf numFmtId="164" fontId="0" fillId="3" borderId="13" xfId="0" applyNumberFormat="1" applyFont="1" applyFill="1" applyBorder="1" applyAlignment="1" applyProtection="1">
      <alignment horizontal="center"/>
      <protection hidden="1"/>
    </xf>
    <xf numFmtId="164" fontId="0" fillId="3" borderId="14" xfId="0" applyNumberFormat="1" applyFont="1" applyFill="1" applyBorder="1" applyAlignment="1" applyProtection="1">
      <alignment horizontal="center"/>
      <protection hidden="1"/>
    </xf>
    <xf numFmtId="0" fontId="0" fillId="3" borderId="15" xfId="0" applyFont="1" applyFill="1" applyBorder="1" applyAlignment="1" applyProtection="1">
      <alignment horizontal="center"/>
      <protection hidden="1"/>
    </xf>
    <xf numFmtId="164" fontId="0" fillId="3" borderId="16" xfId="0" applyNumberFormat="1" applyFont="1" applyFill="1" applyBorder="1" applyAlignment="1" applyProtection="1">
      <alignment horizontal="right"/>
      <protection hidden="1"/>
    </xf>
    <xf numFmtId="164" fontId="0" fillId="3" borderId="17" xfId="0" applyNumberFormat="1" applyFont="1" applyFill="1" applyBorder="1" applyAlignment="1" applyProtection="1">
      <alignment horizontal="right"/>
      <protection hidden="1"/>
    </xf>
    <xf numFmtId="164" fontId="0" fillId="3" borderId="0" xfId="0" applyNumberFormat="1" applyFont="1" applyFill="1" applyBorder="1" applyAlignment="1" applyProtection="1">
      <alignment horizontal="right"/>
      <protection hidden="1"/>
    </xf>
    <xf numFmtId="9" fontId="0" fillId="3" borderId="16" xfId="21" applyFont="1" applyFill="1" applyBorder="1" applyAlignment="1" applyProtection="1">
      <alignment horizontal="center"/>
      <protection hidden="1"/>
    </xf>
    <xf numFmtId="164" fontId="0" fillId="3" borderId="0" xfId="0" applyNumberFormat="1" applyFont="1" applyFill="1" applyBorder="1" applyAlignment="1" applyProtection="1">
      <alignment horizontal="center"/>
      <protection hidden="1"/>
    </xf>
    <xf numFmtId="1" fontId="0" fillId="3" borderId="0" xfId="0" applyNumberFormat="1" applyFont="1" applyFill="1" applyBorder="1" applyAlignment="1" applyProtection="1">
      <alignment horizontal="center"/>
      <protection hidden="1"/>
    </xf>
    <xf numFmtId="1" fontId="0" fillId="3" borderId="17" xfId="0" applyNumberFormat="1" applyFont="1" applyFill="1" applyBorder="1" applyAlignment="1" applyProtection="1">
      <alignment horizontal="center"/>
      <protection hidden="1"/>
    </xf>
    <xf numFmtId="0" fontId="0" fillId="3" borderId="18" xfId="0" applyFont="1" applyFill="1" applyBorder="1" applyAlignment="1" applyProtection="1">
      <alignment horizontal="center"/>
      <protection hidden="1"/>
    </xf>
    <xf numFmtId="0" fontId="0" fillId="3" borderId="19" xfId="0" applyFont="1" applyFill="1" applyBorder="1" applyAlignment="1" applyProtection="1">
      <alignment horizontal="center"/>
      <protection hidden="1"/>
    </xf>
    <xf numFmtId="0" fontId="0" fillId="3" borderId="20" xfId="0" applyFont="1" applyFill="1" applyBorder="1" applyAlignment="1" applyProtection="1">
      <alignment horizontal="center"/>
      <protection hidden="1"/>
    </xf>
    <xf numFmtId="0" fontId="0" fillId="3" borderId="21" xfId="0" applyFont="1" applyFill="1" applyBorder="1" applyAlignment="1" applyProtection="1">
      <alignment horizontal="center"/>
      <protection hidden="1"/>
    </xf>
    <xf numFmtId="0" fontId="0" fillId="3" borderId="22" xfId="0" applyFont="1" applyFill="1" applyBorder="1" applyAlignment="1" applyProtection="1">
      <alignment horizontal="right"/>
      <protection hidden="1"/>
    </xf>
    <xf numFmtId="0" fontId="0" fillId="3" borderId="3" xfId="0" applyFont="1" applyFill="1" applyBorder="1" applyAlignment="1" applyProtection="1">
      <alignment horizontal="right"/>
      <protection hidden="1"/>
    </xf>
    <xf numFmtId="164" fontId="0" fillId="3" borderId="4" xfId="0" applyNumberFormat="1" applyFont="1" applyFill="1" applyBorder="1" applyAlignment="1" applyProtection="1">
      <alignment horizontal="right"/>
      <protection hidden="1"/>
    </xf>
    <xf numFmtId="164" fontId="0" fillId="3" borderId="5" xfId="0" applyNumberFormat="1" applyFont="1" applyFill="1" applyBorder="1" applyAlignment="1" applyProtection="1">
      <alignment horizontal="right"/>
      <protection hidden="1"/>
    </xf>
    <xf numFmtId="164" fontId="0" fillId="3" borderId="13" xfId="0" applyNumberFormat="1" applyFont="1" applyFill="1" applyBorder="1" applyAlignment="1" applyProtection="1">
      <alignment horizontal="right"/>
      <protection hidden="1"/>
    </xf>
    <xf numFmtId="164" fontId="0" fillId="3" borderId="14" xfId="0" applyNumberFormat="1" applyFont="1" applyFill="1" applyBorder="1" applyAlignment="1" applyProtection="1">
      <alignment horizontal="right"/>
      <protection hidden="1"/>
    </xf>
    <xf numFmtId="1" fontId="0" fillId="3" borderId="21" xfId="0" applyNumberFormat="1" applyFont="1" applyFill="1" applyBorder="1" applyAlignment="1" applyProtection="1">
      <alignment horizontal="center"/>
      <protection hidden="1"/>
    </xf>
    <xf numFmtId="9" fontId="0" fillId="3" borderId="22" xfId="21" applyFont="1" applyFill="1" applyBorder="1" applyAlignment="1" applyProtection="1">
      <alignment horizontal="center"/>
      <protection hidden="1"/>
    </xf>
    <xf numFmtId="1" fontId="0" fillId="3" borderId="13" xfId="0" applyNumberFormat="1" applyFont="1" applyFill="1" applyBorder="1" applyAlignment="1" applyProtection="1">
      <alignment horizontal="center"/>
      <protection hidden="1"/>
    </xf>
    <xf numFmtId="1" fontId="0" fillId="3" borderId="14" xfId="0" applyNumberFormat="1" applyFont="1" applyFill="1" applyBorder="1" applyAlignment="1" applyProtection="1">
      <alignment horizontal="center"/>
      <protection hidden="1"/>
    </xf>
    <xf numFmtId="0" fontId="0" fillId="4" borderId="1" xfId="0" applyFont="1" applyFill="1" applyBorder="1" applyAlignment="1" applyProtection="1">
      <alignment horizontal="center"/>
      <protection hidden="1"/>
    </xf>
    <xf numFmtId="0" fontId="3" fillId="4" borderId="21" xfId="0" applyFont="1" applyFill="1" applyBorder="1" applyAlignment="1" applyProtection="1">
      <alignment horizontal="center"/>
      <protection hidden="1" locked="0"/>
    </xf>
    <xf numFmtId="0" fontId="0" fillId="4" borderId="2" xfId="0" applyFont="1" applyFill="1" applyBorder="1" applyAlignment="1" applyProtection="1">
      <alignment horizontal="center"/>
      <protection hidden="1"/>
    </xf>
    <xf numFmtId="0" fontId="0" fillId="4" borderId="3" xfId="0" applyFont="1" applyFill="1" applyBorder="1" applyAlignment="1" applyProtection="1">
      <alignment horizontal="center"/>
      <protection hidden="1"/>
    </xf>
    <xf numFmtId="0" fontId="0" fillId="4" borderId="10" xfId="0" applyFont="1" applyFill="1" applyBorder="1" applyAlignment="1" applyProtection="1">
      <alignment horizontal="center"/>
      <protection hidden="1"/>
    </xf>
    <xf numFmtId="0" fontId="0" fillId="4" borderId="11" xfId="0" applyFont="1" applyFill="1" applyBorder="1" applyAlignment="1" applyProtection="1">
      <alignment horizontal="center"/>
      <protection hidden="1"/>
    </xf>
    <xf numFmtId="0" fontId="0" fillId="4" borderId="12" xfId="0" applyFont="1" applyFill="1" applyBorder="1" applyAlignment="1" applyProtection="1">
      <alignment horizontal="center"/>
      <protection hidden="1"/>
    </xf>
    <xf numFmtId="0" fontId="0" fillId="4" borderId="22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center"/>
      <protection hidden="1" locked="0"/>
    </xf>
    <xf numFmtId="0" fontId="0" fillId="4" borderId="18" xfId="0" applyFont="1" applyFill="1" applyBorder="1" applyAlignment="1" applyProtection="1">
      <alignment horizontal="center"/>
      <protection hidden="1"/>
    </xf>
    <xf numFmtId="0" fontId="0" fillId="4" borderId="19" xfId="0" applyFont="1" applyFill="1" applyBorder="1" applyAlignment="1" applyProtection="1">
      <alignment horizontal="center"/>
      <protection hidden="1"/>
    </xf>
    <xf numFmtId="0" fontId="0" fillId="4" borderId="20" xfId="0" applyFont="1" applyFill="1" applyBorder="1" applyAlignment="1" applyProtection="1">
      <alignment horizontal="center"/>
      <protection hidden="1"/>
    </xf>
    <xf numFmtId="0" fontId="0" fillId="4" borderId="21" xfId="0" applyFont="1" applyFill="1" applyBorder="1" applyAlignment="1" applyProtection="1">
      <alignment horizontal="center"/>
      <protection hidden="1"/>
    </xf>
    <xf numFmtId="0" fontId="3" fillId="4" borderId="19" xfId="0" applyFont="1" applyFill="1" applyBorder="1" applyAlignment="1" applyProtection="1">
      <alignment horizontal="center"/>
      <protection hidden="1" locked="0"/>
    </xf>
    <xf numFmtId="0" fontId="0" fillId="4" borderId="5" xfId="0" applyFont="1" applyFill="1" applyBorder="1" applyAlignment="1" applyProtection="1">
      <alignment horizontal="center"/>
      <protection hidden="1"/>
    </xf>
    <xf numFmtId="0" fontId="0" fillId="5" borderId="3" xfId="0" applyFont="1" applyFill="1" applyBorder="1" applyAlignment="1" applyProtection="1">
      <alignment horizontal="center"/>
      <protection hidden="1"/>
    </xf>
    <xf numFmtId="1" fontId="0" fillId="5" borderId="4" xfId="0" applyNumberFormat="1" applyFont="1" applyFill="1" applyBorder="1" applyAlignment="1" applyProtection="1">
      <alignment horizontal="center"/>
      <protection hidden="1"/>
    </xf>
    <xf numFmtId="9" fontId="0" fillId="5" borderId="4" xfId="0" applyNumberFormat="1" applyFont="1" applyFill="1" applyBorder="1" applyAlignment="1" applyProtection="1">
      <alignment horizontal="center"/>
      <protection hidden="1"/>
    </xf>
    <xf numFmtId="0" fontId="0" fillId="5" borderId="5" xfId="0" applyFont="1" applyFill="1" applyBorder="1" applyAlignment="1" applyProtection="1">
      <alignment horizontal="center"/>
      <protection hidden="1"/>
    </xf>
    <xf numFmtId="0" fontId="0" fillId="5" borderId="16" xfId="0" applyFont="1" applyFill="1" applyBorder="1" applyAlignment="1" applyProtection="1">
      <alignment horizontal="center"/>
      <protection hidden="1"/>
    </xf>
    <xf numFmtId="0" fontId="0" fillId="5" borderId="0" xfId="0" applyFont="1" applyFill="1" applyBorder="1" applyAlignment="1" applyProtection="1">
      <alignment horizontal="center"/>
      <protection hidden="1"/>
    </xf>
    <xf numFmtId="0" fontId="0" fillId="5" borderId="17" xfId="0" applyFont="1" applyFill="1" applyBorder="1" applyAlignment="1" applyProtection="1">
      <alignment horizontal="center"/>
      <protection hidden="1"/>
    </xf>
    <xf numFmtId="0" fontId="0" fillId="5" borderId="22" xfId="0" applyFont="1" applyFill="1" applyBorder="1" applyAlignment="1" applyProtection="1">
      <alignment horizontal="center"/>
      <protection hidden="1"/>
    </xf>
    <xf numFmtId="0" fontId="0" fillId="5" borderId="14" xfId="0" applyFont="1" applyFill="1" applyBorder="1" applyAlignment="1" applyProtection="1">
      <alignment horizontal="center"/>
      <protection hidden="1"/>
    </xf>
    <xf numFmtId="0" fontId="0" fillId="5" borderId="13" xfId="0" applyFont="1" applyFill="1" applyBorder="1" applyAlignment="1" applyProtection="1">
      <alignment horizontal="center"/>
      <protection hidden="1"/>
    </xf>
    <xf numFmtId="1" fontId="0" fillId="3" borderId="11" xfId="0" applyNumberFormat="1" applyFont="1" applyFill="1" applyBorder="1" applyAlignment="1" applyProtection="1">
      <alignment horizontal="center"/>
      <protection hidden="1"/>
    </xf>
    <xf numFmtId="164" fontId="0" fillId="3" borderId="19" xfId="0" applyNumberFormat="1" applyFont="1" applyFill="1" applyBorder="1" applyAlignment="1" applyProtection="1">
      <alignment horizontal="center"/>
      <protection hidden="1"/>
    </xf>
    <xf numFmtId="164" fontId="0" fillId="3" borderId="11" xfId="0" applyNumberFormat="1" applyFont="1" applyFill="1" applyBorder="1" applyAlignment="1" applyProtection="1">
      <alignment horizontal="center"/>
      <protection hidden="1"/>
    </xf>
    <xf numFmtId="0" fontId="0" fillId="3" borderId="4" xfId="0" applyFont="1" applyFill="1" applyBorder="1" applyAlignment="1" applyProtection="1">
      <alignment horizontal="center"/>
      <protection hidden="1"/>
    </xf>
    <xf numFmtId="9" fontId="0" fillId="3" borderId="0" xfId="21" applyFont="1" applyFill="1" applyBorder="1" applyAlignment="1" applyProtection="1">
      <alignment horizontal="center"/>
      <protection hidden="1"/>
    </xf>
    <xf numFmtId="9" fontId="0" fillId="3" borderId="13" xfId="21" applyFont="1" applyFill="1" applyBorder="1" applyAlignment="1" applyProtection="1">
      <alignment horizontal="center"/>
      <protection hidden="1"/>
    </xf>
    <xf numFmtId="164" fontId="3" fillId="2" borderId="0" xfId="0" applyNumberFormat="1" applyFont="1" applyFill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/>
      <protection hidden="1" locked="0"/>
    </xf>
    <xf numFmtId="0" fontId="0" fillId="4" borderId="4" xfId="0" applyFont="1" applyFill="1" applyBorder="1" applyAlignment="1" applyProtection="1">
      <alignment horizontal="center"/>
      <protection hidden="1"/>
    </xf>
    <xf numFmtId="0" fontId="3" fillId="4" borderId="13" xfId="0" applyFont="1" applyFill="1" applyBorder="1" applyAlignment="1" applyProtection="1">
      <alignment horizontal="center"/>
      <protection hidden="1" locked="0"/>
    </xf>
    <xf numFmtId="0" fontId="0" fillId="4" borderId="13" xfId="0" applyFont="1" applyFill="1" applyBorder="1" applyAlignment="1" applyProtection="1">
      <alignment horizontal="center"/>
      <protection hidden="1"/>
    </xf>
    <xf numFmtId="0" fontId="0" fillId="4" borderId="14" xfId="0" applyFont="1" applyFill="1" applyBorder="1" applyAlignment="1" applyProtection="1">
      <alignment horizontal="center"/>
      <protection hidden="1"/>
    </xf>
    <xf numFmtId="1" fontId="6" fillId="6" borderId="23" xfId="0" applyNumberFormat="1" applyFont="1" applyFill="1" applyBorder="1" applyAlignment="1" applyProtection="1">
      <alignment horizontal="center"/>
      <protection locked="0"/>
    </xf>
    <xf numFmtId="1" fontId="3" fillId="3" borderId="3" xfId="0" applyNumberFormat="1" applyFont="1" applyFill="1" applyBorder="1" applyAlignment="1" applyProtection="1">
      <alignment horizontal="left"/>
      <protection hidden="1"/>
    </xf>
    <xf numFmtId="0" fontId="3" fillId="3" borderId="4" xfId="0" applyFont="1" applyFill="1" applyBorder="1" applyAlignment="1" applyProtection="1">
      <alignment horizontal="left"/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1" fontId="0" fillId="3" borderId="4" xfId="0" applyNumberFormat="1" applyFont="1" applyFill="1" applyBorder="1" applyAlignment="1" applyProtection="1">
      <alignment horizontal="center"/>
      <protection hidden="1"/>
    </xf>
    <xf numFmtId="1" fontId="0" fillId="3" borderId="4" xfId="0" applyNumberFormat="1" applyFont="1" applyFill="1" applyBorder="1" applyAlignment="1" applyProtection="1">
      <alignment/>
      <protection hidden="1"/>
    </xf>
    <xf numFmtId="1" fontId="0" fillId="3" borderId="5" xfId="0" applyNumberFormat="1" applyFont="1" applyFill="1" applyBorder="1" applyAlignment="1" applyProtection="1">
      <alignment/>
      <protection hidden="1"/>
    </xf>
    <xf numFmtId="1" fontId="3" fillId="3" borderId="3" xfId="0" applyNumberFormat="1" applyFont="1" applyFill="1" applyBorder="1" applyAlignment="1" applyProtection="1">
      <alignment/>
      <protection hidden="1"/>
    </xf>
    <xf numFmtId="1" fontId="0" fillId="3" borderId="16" xfId="0" applyNumberFormat="1" applyFont="1" applyFill="1" applyBorder="1" applyAlignment="1" applyProtection="1">
      <alignment/>
      <protection hidden="1"/>
    </xf>
    <xf numFmtId="1" fontId="0" fillId="3" borderId="0" xfId="0" applyNumberFormat="1" applyFont="1" applyFill="1" applyBorder="1" applyAlignment="1" applyProtection="1">
      <alignment horizontal="right"/>
      <protection hidden="1"/>
    </xf>
    <xf numFmtId="1" fontId="0" fillId="3" borderId="0" xfId="0" applyNumberFormat="1" applyFont="1" applyFill="1" applyBorder="1" applyAlignment="1" applyProtection="1">
      <alignment horizontal="center" wrapText="1"/>
      <protection hidden="1"/>
    </xf>
    <xf numFmtId="1" fontId="6" fillId="3" borderId="17" xfId="0" applyNumberFormat="1" applyFont="1" applyFill="1" applyBorder="1" applyAlignment="1" applyProtection="1">
      <alignment horizontal="center" wrapText="1"/>
      <protection hidden="1"/>
    </xf>
    <xf numFmtId="1" fontId="3" fillId="3" borderId="16" xfId="0" applyNumberFormat="1" applyFont="1" applyFill="1" applyBorder="1" applyAlignment="1" applyProtection="1">
      <alignment horizontal="center"/>
      <protection hidden="1"/>
    </xf>
    <xf numFmtId="1" fontId="3" fillId="3" borderId="0" xfId="0" applyNumberFormat="1" applyFont="1" applyFill="1" applyBorder="1" applyAlignment="1" applyProtection="1">
      <alignment horizontal="center"/>
      <protection hidden="1"/>
    </xf>
    <xf numFmtId="1" fontId="3" fillId="3" borderId="17" xfId="0" applyNumberFormat="1" applyFont="1" applyFill="1" applyBorder="1" applyAlignment="1" applyProtection="1">
      <alignment horizontal="center"/>
      <protection hidden="1"/>
    </xf>
    <xf numFmtId="0" fontId="0" fillId="6" borderId="23" xfId="0" applyNumberFormat="1" applyFont="1" applyFill="1" applyBorder="1" applyAlignment="1" applyProtection="1">
      <alignment horizontal="center"/>
      <protection locked="0"/>
    </xf>
    <xf numFmtId="1" fontId="0" fillId="3" borderId="0" xfId="0" applyNumberFormat="1" applyFont="1" applyFill="1" applyBorder="1" applyAlignment="1" applyProtection="1">
      <alignment horizontal="center" vertical="top" wrapText="1"/>
      <protection hidden="1"/>
    </xf>
    <xf numFmtId="1" fontId="0" fillId="3" borderId="13" xfId="0" applyNumberFormat="1" applyFont="1" applyFill="1" applyBorder="1" applyAlignment="1" applyProtection="1">
      <alignment horizontal="left"/>
      <protection hidden="1"/>
    </xf>
    <xf numFmtId="0" fontId="0" fillId="3" borderId="13" xfId="0" applyFill="1" applyBorder="1" applyAlignment="1" applyProtection="1">
      <alignment horizontal="left"/>
      <protection hidden="1"/>
    </xf>
    <xf numFmtId="0" fontId="0" fillId="3" borderId="14" xfId="0" applyFill="1" applyBorder="1" applyAlignment="1" applyProtection="1">
      <alignment horizontal="left"/>
      <protection hidden="1"/>
    </xf>
    <xf numFmtId="1" fontId="8" fillId="6" borderId="23" xfId="0" applyNumberFormat="1" applyFont="1" applyFill="1" applyBorder="1" applyAlignment="1" applyProtection="1">
      <alignment horizontal="center"/>
      <protection locked="0"/>
    </xf>
    <xf numFmtId="1" fontId="7" fillId="3" borderId="3" xfId="0" applyNumberFormat="1" applyFont="1" applyFill="1" applyBorder="1" applyAlignment="1" applyProtection="1">
      <alignment/>
      <protection hidden="1"/>
    </xf>
    <xf numFmtId="1" fontId="9" fillId="3" borderId="4" xfId="0" applyNumberFormat="1" applyFont="1" applyFill="1" applyBorder="1" applyAlignment="1" applyProtection="1">
      <alignment horizontal="center"/>
      <protection hidden="1"/>
    </xf>
    <xf numFmtId="1" fontId="10" fillId="3" borderId="4" xfId="0" applyNumberFormat="1" applyFont="1" applyFill="1" applyBorder="1" applyAlignment="1" applyProtection="1">
      <alignment horizontal="center"/>
      <protection hidden="1"/>
    </xf>
    <xf numFmtId="1" fontId="0" fillId="3" borderId="5" xfId="0" applyNumberFormat="1" applyFont="1" applyFill="1" applyBorder="1" applyAlignment="1" applyProtection="1">
      <alignment horizontal="center"/>
      <protection hidden="1"/>
    </xf>
    <xf numFmtId="1" fontId="11" fillId="3" borderId="3" xfId="0" applyNumberFormat="1" applyFont="1" applyFill="1" applyBorder="1" applyAlignment="1" applyProtection="1">
      <alignment horizontal="center"/>
      <protection hidden="1"/>
    </xf>
    <xf numFmtId="1" fontId="10" fillId="6" borderId="23" xfId="0" applyNumberFormat="1" applyFont="1" applyFill="1" applyBorder="1" applyAlignment="1" applyProtection="1">
      <alignment horizontal="center"/>
      <protection locked="0"/>
    </xf>
    <xf numFmtId="164" fontId="0" fillId="3" borderId="17" xfId="0" applyNumberFormat="1" applyFont="1" applyFill="1" applyBorder="1" applyAlignment="1" applyProtection="1">
      <alignment horizontal="center"/>
      <protection hidden="1"/>
    </xf>
    <xf numFmtId="1" fontId="9" fillId="6" borderId="23" xfId="0" applyNumberFormat="1" applyFont="1" applyFill="1" applyBorder="1" applyAlignment="1" applyProtection="1">
      <alignment horizontal="center"/>
      <protection locked="0"/>
    </xf>
    <xf numFmtId="0" fontId="9" fillId="6" borderId="23" xfId="0" applyNumberFormat="1" applyFont="1" applyFill="1" applyBorder="1" applyAlignment="1" applyProtection="1">
      <alignment horizontal="center"/>
      <protection locked="0"/>
    </xf>
    <xf numFmtId="1" fontId="0" fillId="3" borderId="22" xfId="0" applyNumberFormat="1" applyFont="1" applyFill="1" applyBorder="1" applyAlignment="1" applyProtection="1">
      <alignment/>
      <protection hidden="1"/>
    </xf>
    <xf numFmtId="1" fontId="3" fillId="3" borderId="22" xfId="0" applyNumberFormat="1" applyFont="1" applyFill="1" applyBorder="1" applyAlignment="1" applyProtection="1">
      <alignment horizontal="center"/>
      <protection hidden="1"/>
    </xf>
    <xf numFmtId="1" fontId="0" fillId="3" borderId="23" xfId="0" applyNumberFormat="1" applyFont="1" applyFill="1" applyBorder="1" applyAlignment="1" applyProtection="1">
      <alignment horizontal="center"/>
      <protection hidden="1"/>
    </xf>
    <xf numFmtId="1" fontId="9" fillId="3" borderId="23" xfId="0" applyNumberFormat="1" applyFont="1" applyFill="1" applyBorder="1" applyAlignment="1" applyProtection="1">
      <alignment horizontal="center"/>
      <protection hidden="1"/>
    </xf>
    <xf numFmtId="1" fontId="10" fillId="3" borderId="23" xfId="0" applyNumberFormat="1" applyFont="1" applyFill="1" applyBorder="1" applyAlignment="1" applyProtection="1">
      <alignment horizontal="center"/>
      <protection hidden="1"/>
    </xf>
    <xf numFmtId="164" fontId="10" fillId="3" borderId="23" xfId="0" applyNumberFormat="1" applyFont="1" applyFill="1" applyBorder="1" applyAlignment="1" applyProtection="1">
      <alignment horizontal="center"/>
      <protection hidden="1"/>
    </xf>
    <xf numFmtId="1" fontId="8" fillId="3" borderId="7" xfId="0" applyNumberFormat="1" applyFont="1" applyFill="1" applyBorder="1" applyAlignment="1" applyProtection="1">
      <alignment horizontal="left"/>
      <protection hidden="1"/>
    </xf>
    <xf numFmtId="0" fontId="0" fillId="3" borderId="9" xfId="0" applyFill="1" applyBorder="1" applyAlignment="1" applyProtection="1">
      <alignment horizontal="left"/>
      <protection hidden="1"/>
    </xf>
    <xf numFmtId="0" fontId="0" fillId="3" borderId="8" xfId="0" applyFill="1" applyBorder="1" applyAlignment="1" applyProtection="1">
      <alignment horizontal="left"/>
      <protection hidden="1"/>
    </xf>
    <xf numFmtId="1" fontId="18" fillId="3" borderId="3" xfId="0" applyNumberFormat="1" applyFont="1" applyFill="1" applyBorder="1" applyAlignment="1" applyProtection="1">
      <alignment horizontal="left"/>
      <protection hidden="1"/>
    </xf>
    <xf numFmtId="0" fontId="0" fillId="3" borderId="4" xfId="0" applyFill="1" applyBorder="1" applyAlignment="1" applyProtection="1">
      <alignment horizontal="left"/>
      <protection hidden="1"/>
    </xf>
    <xf numFmtId="0" fontId="0" fillId="3" borderId="5" xfId="0" applyFill="1" applyBorder="1" applyAlignment="1" applyProtection="1">
      <alignment horizontal="left"/>
      <protection hidden="1"/>
    </xf>
    <xf numFmtId="1" fontId="0" fillId="3" borderId="0" xfId="0" applyNumberFormat="1" applyFont="1" applyFill="1" applyBorder="1" applyAlignment="1" applyProtection="1">
      <alignment textRotation="180"/>
      <protection hidden="1"/>
    </xf>
    <xf numFmtId="1" fontId="0" fillId="3" borderId="3" xfId="0" applyNumberFormat="1" applyFont="1" applyFill="1" applyBorder="1" applyAlignment="1" applyProtection="1">
      <alignment/>
      <protection hidden="1"/>
    </xf>
    <xf numFmtId="1" fontId="0" fillId="3" borderId="0" xfId="0" applyNumberFormat="1" applyFont="1" applyFill="1" applyBorder="1" applyAlignment="1" applyProtection="1">
      <alignment/>
      <protection hidden="1"/>
    </xf>
    <xf numFmtId="164" fontId="0" fillId="3" borderId="23" xfId="0" applyNumberFormat="1" applyFont="1" applyFill="1" applyBorder="1" applyAlignment="1" applyProtection="1">
      <alignment horizontal="center"/>
      <protection hidden="1"/>
    </xf>
    <xf numFmtId="1" fontId="0" fillId="3" borderId="13" xfId="0" applyNumberFormat="1" applyFont="1" applyFill="1" applyBorder="1" applyAlignment="1" applyProtection="1">
      <alignment/>
      <protection hidden="1"/>
    </xf>
    <xf numFmtId="9" fontId="0" fillId="3" borderId="3" xfId="21" applyFont="1" applyFill="1" applyBorder="1" applyAlignment="1" applyProtection="1">
      <alignment horizontal="center"/>
      <protection hidden="1"/>
    </xf>
    <xf numFmtId="164" fontId="0" fillId="5" borderId="0" xfId="0" applyNumberFormat="1" applyFont="1" applyFill="1" applyBorder="1" applyAlignment="1" applyProtection="1">
      <alignment horizontal="center"/>
      <protection hidden="1"/>
    </xf>
    <xf numFmtId="164" fontId="0" fillId="3" borderId="21" xfId="0" applyNumberFormat="1" applyFont="1" applyFill="1" applyBorder="1" applyAlignment="1" applyProtection="1">
      <alignment horizontal="center"/>
      <protection hidden="1"/>
    </xf>
    <xf numFmtId="0" fontId="0" fillId="3" borderId="5" xfId="0" applyFont="1" applyFill="1" applyBorder="1" applyAlignment="1" applyProtection="1">
      <alignment horizontal="center"/>
      <protection hidden="1"/>
    </xf>
    <xf numFmtId="0" fontId="0" fillId="3" borderId="16" xfId="0" applyFont="1" applyFill="1" applyBorder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 horizontal="center"/>
      <protection hidden="1"/>
    </xf>
    <xf numFmtId="0" fontId="0" fillId="3" borderId="17" xfId="0" applyFont="1" applyFill="1" applyBorder="1" applyAlignment="1" applyProtection="1">
      <alignment horizontal="center"/>
      <protection hidden="1"/>
    </xf>
    <xf numFmtId="2" fontId="0" fillId="3" borderId="17" xfId="0" applyNumberFormat="1" applyFont="1" applyFill="1" applyBorder="1" applyAlignment="1" applyProtection="1">
      <alignment horizontal="center"/>
      <protection hidden="1"/>
    </xf>
    <xf numFmtId="2" fontId="0" fillId="3" borderId="14" xfId="0" applyNumberFormat="1" applyFont="1" applyFill="1" applyBorder="1" applyAlignment="1" applyProtection="1">
      <alignment horizontal="center"/>
      <protection hidden="1"/>
    </xf>
    <xf numFmtId="2" fontId="0" fillId="3" borderId="5" xfId="0" applyNumberFormat="1" applyFont="1" applyFill="1" applyBorder="1" applyAlignment="1" applyProtection="1">
      <alignment horizontal="center"/>
      <protection hidden="1"/>
    </xf>
    <xf numFmtId="0" fontId="21" fillId="3" borderId="4" xfId="0" applyFont="1" applyFill="1" applyBorder="1" applyAlignment="1" applyProtection="1">
      <alignment horizontal="center"/>
      <protection hidden="1"/>
    </xf>
    <xf numFmtId="1" fontId="0" fillId="2" borderId="0" xfId="0" applyNumberFormat="1" applyFont="1" applyFill="1" applyAlignment="1" applyProtection="1">
      <alignment horizontal="center"/>
      <protection hidden="1" locked="0"/>
    </xf>
    <xf numFmtId="2" fontId="0" fillId="3" borderId="4" xfId="0" applyNumberFormat="1" applyFont="1" applyFill="1" applyBorder="1" applyAlignment="1" applyProtection="1">
      <alignment horizontal="center"/>
      <protection hidden="1"/>
    </xf>
    <xf numFmtId="2" fontId="0" fillId="3" borderId="0" xfId="0" applyNumberFormat="1" applyFont="1" applyFill="1" applyBorder="1" applyAlignment="1" applyProtection="1">
      <alignment horizontal="center"/>
      <protection hidden="1"/>
    </xf>
    <xf numFmtId="2" fontId="0" fillId="3" borderId="13" xfId="0" applyNumberFormat="1" applyFont="1" applyFill="1" applyBorder="1" applyAlignment="1" applyProtection="1">
      <alignment horizontal="center"/>
      <protection hidden="1"/>
    </xf>
    <xf numFmtId="9" fontId="0" fillId="3" borderId="24" xfId="21" applyFont="1" applyFill="1" applyBorder="1" applyAlignment="1" applyProtection="1">
      <alignment horizontal="center"/>
      <protection hidden="1"/>
    </xf>
    <xf numFmtId="9" fontId="0" fillId="3" borderId="25" xfId="21" applyFont="1" applyFill="1" applyBorder="1" applyAlignment="1" applyProtection="1">
      <alignment horizontal="center"/>
      <protection hidden="1"/>
    </xf>
    <xf numFmtId="164" fontId="0" fillId="3" borderId="25" xfId="0" applyNumberFormat="1" applyFont="1" applyFill="1" applyBorder="1" applyAlignment="1" applyProtection="1">
      <alignment horizontal="center"/>
      <protection hidden="1"/>
    </xf>
    <xf numFmtId="1" fontId="0" fillId="3" borderId="25" xfId="0" applyNumberFormat="1" applyFont="1" applyFill="1" applyBorder="1" applyAlignment="1" applyProtection="1">
      <alignment horizontal="center"/>
      <protection hidden="1"/>
    </xf>
    <xf numFmtId="1" fontId="0" fillId="3" borderId="26" xfId="0" applyNumberFormat="1" applyFont="1" applyFill="1" applyBorder="1" applyAlignment="1" applyProtection="1">
      <alignment horizontal="center"/>
      <protection hidden="1"/>
    </xf>
    <xf numFmtId="0" fontId="0" fillId="3" borderId="22" xfId="0" applyFont="1" applyFill="1" applyBorder="1" applyAlignment="1" applyProtection="1">
      <alignment horizontal="center"/>
      <protection hidden="1"/>
    </xf>
    <xf numFmtId="0" fontId="0" fillId="3" borderId="13" xfId="0" applyFont="1" applyFill="1" applyBorder="1" applyAlignment="1" applyProtection="1">
      <alignment horizontal="center"/>
      <protection hidden="1"/>
    </xf>
    <xf numFmtId="1" fontId="0" fillId="2" borderId="0" xfId="0" applyNumberFormat="1" applyFont="1" applyFill="1" applyAlignment="1" applyProtection="1">
      <alignment/>
      <protection hidden="1"/>
    </xf>
    <xf numFmtId="1" fontId="0" fillId="2" borderId="0" xfId="0" applyNumberFormat="1" applyFont="1" applyFill="1" applyAlignment="1" applyProtection="1">
      <alignment horizontal="right"/>
      <protection hidden="1"/>
    </xf>
    <xf numFmtId="1" fontId="3" fillId="2" borderId="0" xfId="0" applyNumberFormat="1" applyFont="1" applyFill="1" applyAlignment="1" applyProtection="1">
      <alignment/>
      <protection hidden="1"/>
    </xf>
    <xf numFmtId="1" fontId="0" fillId="2" borderId="0" xfId="0" applyNumberFormat="1" applyFill="1" applyAlignment="1" applyProtection="1">
      <alignment horizontal="center"/>
      <protection hidden="1"/>
    </xf>
    <xf numFmtId="1" fontId="0" fillId="2" borderId="0" xfId="0" applyNumberFormat="1" applyFill="1" applyAlignment="1" applyProtection="1">
      <alignment/>
      <protection hidden="1"/>
    </xf>
    <xf numFmtId="1" fontId="0" fillId="2" borderId="0" xfId="0" applyNumberFormat="1" applyFont="1" applyFill="1" applyAlignment="1" applyProtection="1">
      <alignment horizontal="left"/>
      <protection hidden="1"/>
    </xf>
    <xf numFmtId="1" fontId="7" fillId="2" borderId="0" xfId="0" applyNumberFormat="1" applyFont="1" applyFill="1" applyAlignment="1" applyProtection="1">
      <alignment horizontal="right"/>
      <protection hidden="1"/>
    </xf>
    <xf numFmtId="1" fontId="3" fillId="2" borderId="0" xfId="0" applyNumberFormat="1" applyFont="1" applyFill="1" applyAlignment="1" applyProtection="1">
      <alignment horizontal="left"/>
      <protection hidden="1"/>
    </xf>
    <xf numFmtId="1" fontId="0" fillId="2" borderId="0" xfId="0" applyNumberFormat="1" applyFill="1" applyAlignment="1" applyProtection="1">
      <alignment horizontal="left"/>
      <protection hidden="1"/>
    </xf>
    <xf numFmtId="1" fontId="3" fillId="2" borderId="0" xfId="0" applyNumberFormat="1" applyFont="1" applyFill="1" applyAlignment="1" applyProtection="1">
      <alignment horizontal="center" textRotation="90"/>
      <protection hidden="1"/>
    </xf>
    <xf numFmtId="0" fontId="0" fillId="2" borderId="0" xfId="0" applyFill="1" applyAlignment="1" applyProtection="1">
      <alignment/>
      <protection hidden="1"/>
    </xf>
    <xf numFmtId="164" fontId="0" fillId="2" borderId="0" xfId="0" applyNumberFormat="1" applyFont="1" applyFill="1" applyBorder="1" applyAlignment="1" applyProtection="1">
      <alignment horizontal="center"/>
      <protection hidden="1"/>
    </xf>
    <xf numFmtId="1" fontId="11" fillId="2" borderId="0" xfId="0" applyNumberFormat="1" applyFont="1" applyFill="1" applyAlignment="1" applyProtection="1">
      <alignment horizontal="right"/>
      <protection hidden="1"/>
    </xf>
    <xf numFmtId="1" fontId="12" fillId="2" borderId="0" xfId="0" applyNumberFormat="1" applyFont="1" applyFill="1" applyAlignment="1" applyProtection="1">
      <alignment/>
      <protection hidden="1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1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 applyProtection="1">
      <alignment horizontal="center"/>
      <protection hidden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0" xfId="0" applyFill="1" applyBorder="1" applyAlignment="1">
      <alignment/>
    </xf>
    <xf numFmtId="1" fontId="0" fillId="3" borderId="23" xfId="0" applyNumberFormat="1" applyFill="1" applyBorder="1" applyAlignment="1">
      <alignment horizontal="center"/>
    </xf>
    <xf numFmtId="2" fontId="0" fillId="3" borderId="23" xfId="0" applyNumberForma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2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0" borderId="28" xfId="0" applyNumberForma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6" borderId="2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0" fillId="6" borderId="0" xfId="0" applyFont="1" applyFill="1" applyAlignment="1" applyProtection="1">
      <alignment horizontal="center"/>
      <protection locked="0"/>
    </xf>
    <xf numFmtId="0" fontId="0" fillId="6" borderId="40" xfId="0" applyFill="1" applyBorder="1" applyAlignment="1" applyProtection="1">
      <alignment horizontal="left"/>
      <protection locked="0"/>
    </xf>
    <xf numFmtId="0" fontId="0" fillId="6" borderId="41" xfId="0" applyFill="1" applyBorder="1" applyAlignment="1" applyProtection="1">
      <alignment horizontal="center"/>
      <protection locked="0"/>
    </xf>
    <xf numFmtId="0" fontId="0" fillId="6" borderId="34" xfId="0" applyFill="1" applyBorder="1" applyAlignment="1" applyProtection="1">
      <alignment horizontal="center"/>
      <protection locked="0"/>
    </xf>
    <xf numFmtId="0" fontId="0" fillId="6" borderId="27" xfId="0" applyFill="1" applyBorder="1" applyAlignment="1" applyProtection="1">
      <alignment horizontal="left"/>
      <protection locked="0"/>
    </xf>
    <xf numFmtId="0" fontId="0" fillId="6" borderId="28" xfId="0" applyFill="1" applyBorder="1" applyAlignment="1" applyProtection="1">
      <alignment horizontal="center"/>
      <protection locked="0"/>
    </xf>
    <xf numFmtId="0" fontId="3" fillId="6" borderId="27" xfId="0" applyFont="1" applyFill="1" applyBorder="1" applyAlignment="1" applyProtection="1">
      <alignment horizontal="left"/>
      <protection locked="0"/>
    </xf>
    <xf numFmtId="0" fontId="3" fillId="0" borderId="42" xfId="0" applyFont="1" applyFill="1" applyBorder="1" applyAlignment="1" applyProtection="1">
      <alignment horizontal="left" wrapText="1"/>
      <protection/>
    </xf>
    <xf numFmtId="0" fontId="3" fillId="0" borderId="43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0" fillId="2" borderId="0" xfId="0" applyFont="1" applyFill="1" applyBorder="1" applyAlignment="1" applyProtection="1">
      <alignment horizontal="center" wrapText="1"/>
      <protection/>
    </xf>
    <xf numFmtId="0" fontId="28" fillId="2" borderId="0" xfId="0" applyFont="1" applyFill="1" applyAlignment="1">
      <alignment horizontal="center"/>
    </xf>
    <xf numFmtId="0" fontId="0" fillId="4" borderId="1" xfId="0" applyFill="1" applyBorder="1" applyAlignment="1">
      <alignment horizontal="right"/>
    </xf>
    <xf numFmtId="0" fontId="0" fillId="4" borderId="18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0" fillId="3" borderId="18" xfId="0" applyFill="1" applyBorder="1" applyAlignment="1">
      <alignment horizontal="right"/>
    </xf>
    <xf numFmtId="0" fontId="0" fillId="5" borderId="18" xfId="0" applyFill="1" applyBorder="1" applyAlignment="1">
      <alignment horizontal="right"/>
    </xf>
    <xf numFmtId="0" fontId="3" fillId="6" borderId="21" xfId="0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0" fontId="0" fillId="2" borderId="0" xfId="0" applyFont="1" applyFill="1" applyAlignment="1">
      <alignment/>
    </xf>
    <xf numFmtId="0" fontId="0" fillId="4" borderId="2" xfId="0" applyFont="1" applyFill="1" applyBorder="1" applyAlignment="1">
      <alignment/>
    </xf>
    <xf numFmtId="0" fontId="0" fillId="4" borderId="20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164" fontId="3" fillId="3" borderId="21" xfId="0" applyNumberFormat="1" applyFont="1" applyFill="1" applyBorder="1" applyAlignment="1">
      <alignment horizontal="center"/>
    </xf>
    <xf numFmtId="164" fontId="3" fillId="3" borderId="19" xfId="0" applyNumberFormat="1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1" fontId="3" fillId="3" borderId="21" xfId="0" applyNumberFormat="1" applyFont="1" applyFill="1" applyBorder="1" applyAlignment="1">
      <alignment horizontal="center"/>
    </xf>
    <xf numFmtId="1" fontId="3" fillId="5" borderId="19" xfId="0" applyNumberFormat="1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1" fontId="3" fillId="3" borderId="19" xfId="0" applyNumberFormat="1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color rgb="FFFF0000"/>
      </font>
      <border/>
    </dxf>
    <dxf>
      <fill>
        <patternFill>
          <bgColor rgb="FFCCFFFF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Elevator Torque (oz-in) vs. Deflection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8"/>
          <c:w val="0.924"/>
          <c:h val="0.822"/>
        </c:manualLayout>
      </c:layout>
      <c:scatterChart>
        <c:scatterStyle val="smooth"/>
        <c:varyColors val="0"/>
        <c:ser>
          <c:idx val="0"/>
          <c:order val="0"/>
          <c:tx>
            <c:strRef>
              <c:f>SimpleServo!$Y$3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SimpleServo!$P$13:$P$19</c:f>
              <c:numCache/>
            </c:numRef>
          </c:xVal>
          <c:yVal>
            <c:numRef>
              <c:f>SimpleServo!$Y$13:$Y$19</c:f>
              <c:numCache/>
            </c:numRef>
          </c:yVal>
          <c:smooth val="1"/>
        </c:ser>
        <c:ser>
          <c:idx val="1"/>
          <c:order val="1"/>
          <c:tx>
            <c:strRef>
              <c:f>SimpleServo!$W$3</c:f>
              <c:strCache>
                <c:ptCount val="1"/>
                <c:pt idx="0">
                  <c:v>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SimpleServo!$P$13:$P$19</c:f>
              <c:numCache/>
            </c:numRef>
          </c:xVal>
          <c:yVal>
            <c:numRef>
              <c:f>SimpleServo!$W$13:$W$19</c:f>
              <c:numCache/>
            </c:numRef>
          </c:yVal>
          <c:smooth val="1"/>
        </c:ser>
        <c:ser>
          <c:idx val="2"/>
          <c:order val="2"/>
          <c:tx>
            <c:strRef>
              <c:f>SimpleServo!$U$3</c:f>
              <c:strCache>
                <c:ptCount val="1"/>
                <c:pt idx="0">
                  <c:v>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SimpleServo!$P$13:$P$19</c:f>
              <c:numCache/>
            </c:numRef>
          </c:xVal>
          <c:yVal>
            <c:numRef>
              <c:f>SimpleServo!$U$13:$U$19</c:f>
              <c:numCache/>
            </c:numRef>
          </c:yVal>
          <c:smooth val="1"/>
        </c:ser>
        <c:axId val="5879517"/>
        <c:axId val="52915654"/>
      </c:scatterChart>
      <c:valAx>
        <c:axId val="5879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Surface Deflection (degrees)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15654"/>
        <c:crosses val="autoZero"/>
        <c:crossBetween val="midCat"/>
        <c:dispUnits/>
      </c:valAx>
      <c:valAx>
        <c:axId val="529156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95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625"/>
          <c:y val="0.08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"/>
          <c:w val="0.939"/>
          <c:h val="0.94075"/>
        </c:manualLayout>
      </c:layout>
      <c:scatterChart>
        <c:scatterStyle val="smooth"/>
        <c:varyColors val="0"/>
        <c:ser>
          <c:idx val="0"/>
          <c:order val="0"/>
          <c:tx>
            <c:v>+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StdServo!$AX$6:$AX$13</c:f>
              <c:numCache/>
            </c:numRef>
          </c:xVal>
          <c:yVal>
            <c:numRef>
              <c:f>StdServo!$AW$6:$AW$13</c:f>
              <c:numCache/>
            </c:numRef>
          </c:yVal>
          <c:smooth val="1"/>
        </c:ser>
        <c:ser>
          <c:idx val="1"/>
          <c:order val="1"/>
          <c:tx>
            <c:v>-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StdServo!$AZ$6:$AZ$13</c:f>
              <c:numCache/>
            </c:numRef>
          </c:xVal>
          <c:yVal>
            <c:numRef>
              <c:f>StdServo!$AY$6:$AY$13</c:f>
              <c:numCache/>
            </c:numRef>
          </c:yVal>
          <c:smooth val="1"/>
        </c:ser>
        <c:axId val="5009735"/>
        <c:axId val="45087616"/>
      </c:scatterChart>
      <c:valAx>
        <c:axId val="500973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Servo or (no-expo) Stick deflection (%)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87616"/>
        <c:crosses val="autoZero"/>
        <c:crossBetween val="midCat"/>
        <c:dispUnits/>
      </c:valAx>
      <c:valAx>
        <c:axId val="45087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Trailing edge deflection (cm)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097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075"/>
        </c:manualLayout>
      </c:layout>
      <c:scatterChart>
        <c:scatterStyle val="smooth"/>
        <c:varyColors val="0"/>
        <c:ser>
          <c:idx val="0"/>
          <c:order val="0"/>
          <c:tx>
            <c:v>+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StdServo!$AX$14:$AX$21</c:f>
              <c:numCache/>
            </c:numRef>
          </c:xVal>
          <c:yVal>
            <c:numRef>
              <c:f>StdServo!$AW$14:$AW$21</c:f>
              <c:numCache/>
            </c:numRef>
          </c:yVal>
          <c:smooth val="1"/>
        </c:ser>
        <c:ser>
          <c:idx val="1"/>
          <c:order val="1"/>
          <c:tx>
            <c:v>-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StdServo!$AZ$14:$AZ$21</c:f>
              <c:numCache/>
            </c:numRef>
          </c:xVal>
          <c:yVal>
            <c:numRef>
              <c:f>StdServo!$AY$14:$AY$21</c:f>
              <c:numCache/>
            </c:numRef>
          </c:yVal>
          <c:smooth val="1"/>
        </c:ser>
        <c:axId val="3135361"/>
        <c:axId val="28218250"/>
      </c:scatterChart>
      <c:valAx>
        <c:axId val="313536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Servo or (no-expo) Stick deflection (%)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18250"/>
        <c:crosses val="autoZero"/>
        <c:crossBetween val="midCat"/>
        <c:dispUnits/>
      </c:valAx>
      <c:valAx>
        <c:axId val="282182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53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075"/>
        </c:manualLayout>
      </c:layout>
      <c:scatterChart>
        <c:scatterStyle val="smooth"/>
        <c:varyColors val="0"/>
        <c:ser>
          <c:idx val="0"/>
          <c:order val="0"/>
          <c:tx>
            <c:v>+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StdServo!$AX$22:$AX$29</c:f>
              <c:numCache/>
            </c:numRef>
          </c:xVal>
          <c:yVal>
            <c:numRef>
              <c:f>StdServo!$AW$22:$AW$29</c:f>
              <c:numCache/>
            </c:numRef>
          </c:yVal>
          <c:smooth val="1"/>
        </c:ser>
        <c:ser>
          <c:idx val="1"/>
          <c:order val="1"/>
          <c:tx>
            <c:v>-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StdServo!$AZ$22:$AZ$29</c:f>
              <c:numCache/>
            </c:numRef>
          </c:xVal>
          <c:yVal>
            <c:numRef>
              <c:f>StdServo!$AY$22:$AY$29</c:f>
              <c:numCache/>
            </c:numRef>
          </c:yVal>
          <c:smooth val="1"/>
        </c:ser>
        <c:axId val="52637659"/>
        <c:axId val="3976884"/>
      </c:scatterChart>
      <c:valAx>
        <c:axId val="5263765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Servo or (no-expo) Stick deflection (%)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6884"/>
        <c:crosses val="autoZero"/>
        <c:crossBetween val="midCat"/>
        <c:dispUnits/>
      </c:valAx>
      <c:valAx>
        <c:axId val="39768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376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5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SuperServo!$AT$8:$AT$10</c:f>
              <c:numCache/>
            </c:numRef>
          </c:xVal>
          <c:yVal>
            <c:numRef>
              <c:f>SuperServo!$AU$8:$AU$10</c:f>
              <c:numCache/>
            </c:numRef>
          </c:yVal>
          <c:smooth val="0"/>
        </c:ser>
        <c:ser>
          <c:idx val="6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SuperServo!$AV$8:$AV$10</c:f>
              <c:numCache/>
            </c:numRef>
          </c:xVal>
          <c:yVal>
            <c:numRef>
              <c:f>SuperServo!$AW$8:$AW$10</c:f>
              <c:numCache/>
            </c:numRef>
          </c:yVal>
          <c:smooth val="0"/>
        </c:ser>
        <c:ser>
          <c:idx val="4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SuperServo!$AR$8:$AR$10</c:f>
              <c:numCache/>
            </c:numRef>
          </c:xVal>
          <c:yVal>
            <c:numRef>
              <c:f>SuperServo!$AS$8:$AS$10</c:f>
              <c:numCache/>
            </c:numRef>
          </c:yVal>
          <c:smooth val="0"/>
        </c:ser>
        <c:ser>
          <c:idx val="7"/>
          <c:order val="3"/>
          <c:spPr>
            <a:ln w="254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25400">
                <a:solidFill>
                  <a:srgbClr val="FFFF00"/>
                </a:solidFill>
                <a:prstDash val="sysDot"/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FFFF00"/>
                </a:solidFill>
                <a:prstDash val="sysDot"/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25400">
                <a:solidFill>
                  <a:srgbClr val="FFFF00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SuperServo!$AX$8:$AX$10</c:f>
              <c:numCache/>
            </c:numRef>
          </c:xVal>
          <c:yVal>
            <c:numRef>
              <c:f>SuperServo!$AY$8:$AY$10</c:f>
              <c:numCache/>
            </c:numRef>
          </c:yVal>
          <c:smooth val="0"/>
        </c:ser>
        <c:ser>
          <c:idx val="2"/>
          <c:order val="4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3"/>
            <c:spPr>
              <a:ln w="3175">
                <a:solidFill>
                  <a:srgbClr val="0000FF"/>
                </a:solidFill>
              </a:ln>
            </c:spPr>
            <c:marker>
              <c:symbol val="none"/>
            </c:marker>
          </c:dPt>
          <c:xVal>
            <c:numRef>
              <c:f>SuperServo!$AV$4:$AV$7</c:f>
              <c:numCache/>
            </c:numRef>
          </c:xVal>
          <c:yVal>
            <c:numRef>
              <c:f>SuperServo!$AW$4:$AW$7</c:f>
              <c:numCache/>
            </c:numRef>
          </c:yVal>
          <c:smooth val="0"/>
        </c:ser>
        <c:ser>
          <c:idx val="1"/>
          <c:order val="5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3"/>
            <c:spPr>
              <a:ln w="3175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SuperServo!$AT$4:$AT$7</c:f>
              <c:numCache/>
            </c:numRef>
          </c:xVal>
          <c:yVal>
            <c:numRef>
              <c:f>SuperServo!$AU$4:$AU$7</c:f>
              <c:numCache/>
            </c:numRef>
          </c:yVal>
          <c:smooth val="0"/>
        </c:ser>
        <c:ser>
          <c:idx val="0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SuperServo!$AR$4:$AR$7</c:f>
              <c:numCache/>
            </c:numRef>
          </c:xVal>
          <c:yVal>
            <c:numRef>
              <c:f>SuperServo!$AS$4:$AS$7</c:f>
              <c:numCache/>
            </c:numRef>
          </c:yVal>
          <c:smooth val="0"/>
        </c:ser>
        <c:ser>
          <c:idx val="3"/>
          <c:order val="7"/>
          <c:spPr>
            <a:ln w="127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dPt>
            <c:idx val="0"/>
            <c:spPr>
              <a:ln w="12700">
                <a:solidFill>
                  <a:srgbClr val="FFFF00"/>
                </a:solidFill>
                <a:prstDash val="sysDot"/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FFFF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SuperServo!$AX$4:$AX$7</c:f>
              <c:numCache/>
            </c:numRef>
          </c:xVal>
          <c:yVal>
            <c:numRef>
              <c:f>SuperServo!$AY$4:$AY$7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SuperServo!$AR$11:$AR$12</c:f>
              <c:numCache/>
            </c:numRef>
          </c:xVal>
          <c:yVal>
            <c:numRef>
              <c:f>SuperServo!$AS$11:$AS$12</c:f>
              <c:numCache/>
            </c:numRef>
          </c:yVal>
          <c:smooth val="0"/>
        </c:ser>
        <c:axId val="35791957"/>
        <c:axId val="53692158"/>
      </c:scatterChart>
      <c:valAx>
        <c:axId val="35791957"/>
        <c:scaling>
          <c:orientation val="minMax"/>
          <c:max val="20"/>
          <c:min val="-2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692158"/>
        <c:crosses val="autoZero"/>
        <c:crossBetween val="midCat"/>
        <c:dispUnits/>
      </c:valAx>
      <c:valAx>
        <c:axId val="53692158"/>
        <c:scaling>
          <c:orientation val="minMax"/>
          <c:max val="9.999999999999998"/>
          <c:min val="-9.999999999999998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7919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475"/>
        </c:manualLayout>
      </c:layout>
      <c:scatterChart>
        <c:scatterStyle val="smoothMarker"/>
        <c:varyColors val="0"/>
        <c:ser>
          <c:idx val="0"/>
          <c:order val="0"/>
          <c:tx>
            <c:v>Positive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SuperServo!$AL$6:$AL$16</c:f>
              <c:numCache/>
            </c:numRef>
          </c:xVal>
          <c:yVal>
            <c:numRef>
              <c:f>SuperServo!$AM$6:$AM$16</c:f>
              <c:numCache/>
            </c:numRef>
          </c:yVal>
          <c:smooth val="1"/>
        </c:ser>
        <c:ser>
          <c:idx val="2"/>
          <c:order val="1"/>
          <c:tx>
            <c:v>Negative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0000FF"/>
                </a:solidFill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FF"/>
                </a:solidFill>
              </a:ln>
            </c:spPr>
            <c:marker>
              <c:symbol val="circl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SuperServo!$AL$16:$AL$26</c:f>
              <c:numCache/>
            </c:numRef>
          </c:xVal>
          <c:yVal>
            <c:numRef>
              <c:f>SuperServo!$AM$16:$AM$26</c:f>
              <c:numCache/>
            </c:numRef>
          </c:yVal>
          <c:smooth val="1"/>
        </c:ser>
        <c:ser>
          <c:idx val="1"/>
          <c:order val="2"/>
          <c:tx>
            <c:v>Current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SuperServo!$AL$5</c:f>
              <c:numCache/>
            </c:numRef>
          </c:xVal>
          <c:yVal>
            <c:numRef>
              <c:f>SuperServo!$AM$5</c:f>
              <c:numCache/>
            </c:numRef>
          </c:yVal>
          <c:smooth val="1"/>
        </c:ser>
        <c:axId val="13467375"/>
        <c:axId val="54097512"/>
      </c:scatterChart>
      <c:valAx>
        <c:axId val="13467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Control surface deflection (degrees)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097512"/>
        <c:crosses val="autoZero"/>
        <c:crossBetween val="midCat"/>
        <c:dispUnits/>
      </c:valAx>
      <c:valAx>
        <c:axId val="5409751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34673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475"/>
        </c:manualLayout>
      </c:layout>
      <c:scatterChart>
        <c:scatterStyle val="smoothMarker"/>
        <c:varyColors val="0"/>
        <c:ser>
          <c:idx val="0"/>
          <c:order val="0"/>
          <c:tx>
            <c:v>Positive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SuperServo!$AL$6:$AL$16</c:f>
              <c:numCache/>
            </c:numRef>
          </c:xVal>
          <c:yVal>
            <c:numRef>
              <c:f>SuperServo!$AN$6:$AN$16</c:f>
              <c:numCache/>
            </c:numRef>
          </c:yVal>
          <c:smooth val="1"/>
        </c:ser>
        <c:ser>
          <c:idx val="2"/>
          <c:order val="1"/>
          <c:tx>
            <c:v>Negative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0000FF"/>
                </a:solidFill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FF"/>
                </a:solidFill>
              </a:ln>
            </c:spPr>
            <c:marker>
              <c:symbol val="circl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SuperServo!$AL$16:$AL$26</c:f>
              <c:numCache/>
            </c:numRef>
          </c:xVal>
          <c:yVal>
            <c:numRef>
              <c:f>SuperServo!$AN$16:$AN$26</c:f>
              <c:numCache/>
            </c:numRef>
          </c:yVal>
          <c:smooth val="1"/>
        </c:ser>
        <c:ser>
          <c:idx val="1"/>
          <c:order val="2"/>
          <c:tx>
            <c:v>Current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SuperServo!$AL$5</c:f>
              <c:numCache/>
            </c:numRef>
          </c:xVal>
          <c:yVal>
            <c:numRef>
              <c:f>SuperServo!$AN$5</c:f>
              <c:numCache/>
            </c:numRef>
          </c:yVal>
          <c:smooth val="1"/>
        </c:ser>
        <c:axId val="17115561"/>
        <c:axId val="19822322"/>
      </c:scatterChart>
      <c:valAx>
        <c:axId val="17115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Control surface deflection (degrees)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822322"/>
        <c:crosses val="autoZero"/>
        <c:crossBetween val="midCat"/>
        <c:dispUnits/>
      </c:valAx>
      <c:valAx>
        <c:axId val="1982232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crossAx val="171155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475"/>
        </c:manualLayout>
      </c:layout>
      <c:scatterChart>
        <c:scatterStyle val="smoothMarker"/>
        <c:varyColors val="0"/>
        <c:ser>
          <c:idx val="0"/>
          <c:order val="0"/>
          <c:tx>
            <c:v>Positive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SuperServo!$AL$6:$AL$16</c:f>
              <c:numCache/>
            </c:numRef>
          </c:xVal>
          <c:yVal>
            <c:numRef>
              <c:f>SuperServo!$AO$6:$AO$16</c:f>
              <c:numCache/>
            </c:numRef>
          </c:yVal>
          <c:smooth val="1"/>
        </c:ser>
        <c:ser>
          <c:idx val="2"/>
          <c:order val="1"/>
          <c:tx>
            <c:v>Negative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0000FF"/>
                </a:solidFill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FF"/>
                </a:solidFill>
              </a:ln>
            </c:spPr>
            <c:marker>
              <c:symbol val="circl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SuperServo!$AL$16:$AL$26</c:f>
              <c:numCache/>
            </c:numRef>
          </c:xVal>
          <c:yVal>
            <c:numRef>
              <c:f>SuperServo!$AO$16:$AO$26</c:f>
              <c:numCache/>
            </c:numRef>
          </c:yVal>
          <c:smooth val="1"/>
        </c:ser>
        <c:ser>
          <c:idx val="1"/>
          <c:order val="2"/>
          <c:tx>
            <c:v>Current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SuperServo!$AL$5</c:f>
              <c:numCache/>
            </c:numRef>
          </c:xVal>
          <c:yVal>
            <c:numRef>
              <c:f>SuperServo!$AO$5</c:f>
              <c:numCache/>
            </c:numRef>
          </c:yVal>
          <c:smooth val="1"/>
        </c:ser>
        <c:axId val="44183171"/>
        <c:axId val="62104220"/>
      </c:scatterChart>
      <c:valAx>
        <c:axId val="44183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Control surface deflection (degrees)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104220"/>
        <c:crosses val="autoZero"/>
        <c:crossBetween val="midCat"/>
        <c:dispUnits/>
      </c:valAx>
      <c:valAx>
        <c:axId val="6210422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41831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"/>
          <c:w val="0.945"/>
          <c:h val="0.95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SuperServo!$AQ$16:$AQ$26</c:f>
              <c:numCache/>
            </c:numRef>
          </c:xVal>
          <c:yVal>
            <c:numRef>
              <c:f>SuperServo!$AR$16:$AR$26</c:f>
              <c:numCache>
                <c:ptCount val="11"/>
                <c:pt idx="0">
                  <c:v>0</c:v>
                </c:pt>
                <c:pt idx="1">
                  <c:v>0.006267157781360666</c:v>
                </c:pt>
                <c:pt idx="2">
                  <c:v>0.024507494976031552</c:v>
                </c:pt>
                <c:pt idx="3">
                  <c:v>0.052981820982870076</c:v>
                </c:pt>
                <c:pt idx="4">
                  <c:v>0.0886014763375762</c:v>
                </c:pt>
                <c:pt idx="5">
                  <c:v>0.12662919633677916</c:v>
                </c:pt>
                <c:pt idx="6">
                  <c:v>0.16023267078035985</c:v>
                </c:pt>
                <c:pt idx="7">
                  <c:v>0.1798652991100873</c:v>
                </c:pt>
                <c:pt idx="8">
                  <c:v>0.17244662059002636</c:v>
                </c:pt>
                <c:pt idx="9">
                  <c:v>0.12032141470362134</c:v>
                </c:pt>
                <c:pt idx="10">
                  <c:v>-5.684341886080802E-14</c:v>
                </c:pt>
              </c:numCache>
            </c:numRef>
          </c:yVal>
          <c:smooth val="1"/>
        </c:ser>
        <c:axId val="22067069"/>
        <c:axId val="64385894"/>
      </c:scatterChart>
      <c:valAx>
        <c:axId val="22067069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Stick position</a:t>
                </a:r>
              </a:p>
            </c:rich>
          </c:tx>
          <c:layout>
            <c:manualLayout>
              <c:xMode val="factor"/>
              <c:yMode val="factor"/>
              <c:x val="-0.01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4385894"/>
        <c:crosses val="autoZero"/>
        <c:crossBetween val="midCat"/>
        <c:dispUnits/>
        <c:majorUnit val="0.25"/>
      </c:valAx>
      <c:valAx>
        <c:axId val="64385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Surface "play" </a:t>
                </a:r>
                <a:r>
                  <a:rPr lang="en-US" cap="none" sz="800" b="0" i="0" u="sng" baseline="0">
                    <a:latin typeface="Arial"/>
                    <a:ea typeface="Arial"/>
                    <a:cs typeface="Arial"/>
                  </a:rPr>
                  <a:t>(degrees)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0670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"/>
          <c:w val="0.94475"/>
          <c:h val="0.95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SuperServo!$AQ$16:$AQ$26</c:f>
              <c:numCache/>
            </c:numRef>
          </c:xVal>
          <c:yVal>
            <c:numRef>
              <c:f>SuperServo!$AS$16:$AS$26</c:f>
              <c:numCache>
                <c:ptCount val="11"/>
                <c:pt idx="0">
                  <c:v>0</c:v>
                </c:pt>
                <c:pt idx="1">
                  <c:v>0.005469073442687105</c:v>
                </c:pt>
                <c:pt idx="2">
                  <c:v>0.02131955541143533</c:v>
                </c:pt>
                <c:pt idx="3">
                  <c:v>0.045627969299808196</c:v>
                </c:pt>
                <c:pt idx="4">
                  <c:v>0.0750223210132721</c:v>
                </c:pt>
                <c:pt idx="5">
                  <c:v>0.10469934256809764</c:v>
                </c:pt>
                <c:pt idx="6">
                  <c:v>0.12846847313985446</c:v>
                </c:pt>
                <c:pt idx="7">
                  <c:v>0.13884355901791795</c:v>
                </c:pt>
                <c:pt idx="8">
                  <c:v>0.1272170865075383</c:v>
                </c:pt>
                <c:pt idx="9">
                  <c:v>0.08417060360609376</c:v>
                </c:pt>
                <c:pt idx="10">
                  <c:v>-3.7395183105600814E-14</c:v>
                </c:pt>
              </c:numCache>
            </c:numRef>
          </c:yVal>
          <c:smooth val="1"/>
        </c:ser>
        <c:axId val="42602135"/>
        <c:axId val="47874896"/>
      </c:scatterChart>
      <c:valAx>
        <c:axId val="42602135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Stick position</a:t>
                </a:r>
              </a:p>
            </c:rich>
          </c:tx>
          <c:layout>
            <c:manualLayout>
              <c:xMode val="factor"/>
              <c:yMode val="factor"/>
              <c:x val="-0.01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7874896"/>
        <c:crosses val="autoZero"/>
        <c:crossBetween val="midCat"/>
        <c:dispUnits/>
        <c:majorUnit val="0.25"/>
      </c:valAx>
      <c:valAx>
        <c:axId val="47874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Maximum cable slack </a:t>
                </a:r>
                <a:r>
                  <a:rPr lang="en-US" cap="none" sz="800" b="0" i="0" u="sng" baseline="0">
                    <a:latin typeface="Arial"/>
                    <a:ea typeface="Arial"/>
                    <a:cs typeface="Arial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6021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"/>
          <c:w val="0.9405"/>
          <c:h val="1"/>
        </c:manualLayout>
      </c:layout>
      <c:scatterChart>
        <c:scatterStyle val="smooth"/>
        <c:varyColors val="0"/>
        <c:ser>
          <c:idx val="0"/>
          <c:order val="0"/>
          <c:tx>
            <c:v>Positive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SuperServo!$AJ$6:$AJ$16</c:f>
              <c:numCache/>
            </c:numRef>
          </c:xVal>
          <c:yVal>
            <c:numRef>
              <c:f>SuperServo!$AK$6:$AK$16</c:f>
              <c:numCache/>
            </c:numRef>
          </c:yVal>
          <c:smooth val="1"/>
        </c:ser>
        <c:ser>
          <c:idx val="2"/>
          <c:order val="1"/>
          <c:tx>
            <c:v>Negative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0000FF"/>
                </a:solidFill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FF"/>
                </a:solidFill>
              </a:ln>
            </c:spPr>
            <c:marker>
              <c:symbol val="circl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SuperServo!$AJ$16:$AJ$26</c:f>
              <c:numCache/>
            </c:numRef>
          </c:xVal>
          <c:yVal>
            <c:numRef>
              <c:f>SuperServo!$AK$16:$AK$26</c:f>
              <c:numCache/>
            </c:numRef>
          </c:yVal>
          <c:smooth val="1"/>
        </c:ser>
        <c:ser>
          <c:idx val="1"/>
          <c:order val="2"/>
          <c:tx>
            <c:v>Current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SuperServo!$AJ$5</c:f>
              <c:numCache/>
            </c:numRef>
          </c:xVal>
          <c:yVal>
            <c:numRef>
              <c:f>SuperServo!$AK$5</c:f>
              <c:numCache/>
            </c:numRef>
          </c:yVal>
          <c:smooth val="1"/>
        </c:ser>
        <c:axId val="28220881"/>
        <c:axId val="52661338"/>
      </c:scatterChart>
      <c:valAx>
        <c:axId val="28220881"/>
        <c:scaling>
          <c:orientation val="minMax"/>
          <c:max val="1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low"/>
        <c:crossAx val="52661338"/>
        <c:crosses val="autoZero"/>
        <c:crossBetween val="midCat"/>
        <c:dispUnits/>
        <c:majorUnit val="0.25"/>
      </c:valAx>
      <c:valAx>
        <c:axId val="52661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Trailing edge deflection</a:t>
                </a: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sng" baseline="0">
                    <a:latin typeface="Arial"/>
                    <a:ea typeface="Arial"/>
                    <a:cs typeface="Arial"/>
                  </a:rPr>
                  <a:t>(cm)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crossAx val="282208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Aileron Torque (oz-in) vs. Deflection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8"/>
          <c:w val="0.924"/>
          <c:h val="0.822"/>
        </c:manualLayout>
      </c:layout>
      <c:scatterChart>
        <c:scatterStyle val="smooth"/>
        <c:varyColors val="0"/>
        <c:ser>
          <c:idx val="0"/>
          <c:order val="0"/>
          <c:tx>
            <c:strRef>
              <c:f>SimpleServo!$Y$3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SimpleServo!$P$6:$P$12</c:f>
              <c:numCache/>
            </c:numRef>
          </c:xVal>
          <c:yVal>
            <c:numRef>
              <c:f>SimpleServo!$Y$6:$Y$12</c:f>
              <c:numCache/>
            </c:numRef>
          </c:yVal>
          <c:smooth val="1"/>
        </c:ser>
        <c:ser>
          <c:idx val="1"/>
          <c:order val="1"/>
          <c:tx>
            <c:strRef>
              <c:f>SimpleServo!$W$3</c:f>
              <c:strCache>
                <c:ptCount val="1"/>
                <c:pt idx="0">
                  <c:v>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SimpleServo!$P$6:$P$12</c:f>
              <c:numCache/>
            </c:numRef>
          </c:xVal>
          <c:yVal>
            <c:numRef>
              <c:f>SimpleServo!$W$6:$W$12</c:f>
              <c:numCache/>
            </c:numRef>
          </c:yVal>
          <c:smooth val="1"/>
        </c:ser>
        <c:ser>
          <c:idx val="2"/>
          <c:order val="2"/>
          <c:tx>
            <c:strRef>
              <c:f>SimpleServo!$U$3</c:f>
              <c:strCache>
                <c:ptCount val="1"/>
                <c:pt idx="0">
                  <c:v>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SimpleServo!$P$6:$P$12</c:f>
              <c:numCache/>
            </c:numRef>
          </c:xVal>
          <c:yVal>
            <c:numRef>
              <c:f>SimpleServo!$U$6:$U$12</c:f>
              <c:numCache/>
            </c:numRef>
          </c:yVal>
          <c:smooth val="1"/>
        </c:ser>
        <c:axId val="6478839"/>
        <c:axId val="58309552"/>
      </c:scatterChart>
      <c:valAx>
        <c:axId val="6478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Surface Deflection (degrees)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09552"/>
        <c:crosses val="autoZero"/>
        <c:crossBetween val="midCat"/>
        <c:dispUnits/>
      </c:valAx>
      <c:valAx>
        <c:axId val="583095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788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625"/>
          <c:y val="0.08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"/>
          <c:w val="0.9405"/>
          <c:h val="1"/>
        </c:manualLayout>
      </c:layout>
      <c:scatterChart>
        <c:scatterStyle val="smooth"/>
        <c:varyColors val="0"/>
        <c:ser>
          <c:idx val="0"/>
          <c:order val="0"/>
          <c:tx>
            <c:v>Positive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SuperServo!$AJ$6:$AJ$16</c:f>
              <c:numCache/>
            </c:numRef>
          </c:xVal>
          <c:yVal>
            <c:numRef>
              <c:f>SuperServo!$AL$6:$AL$16</c:f>
              <c:numCache/>
            </c:numRef>
          </c:yVal>
          <c:smooth val="1"/>
        </c:ser>
        <c:ser>
          <c:idx val="2"/>
          <c:order val="1"/>
          <c:tx>
            <c:v>Negative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0000FF"/>
                </a:solidFill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FF"/>
                </a:solidFill>
              </a:ln>
            </c:spPr>
            <c:marker>
              <c:symbol val="circl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SuperServo!$AJ$16:$AJ$26</c:f>
              <c:numCache/>
            </c:numRef>
          </c:xVal>
          <c:yVal>
            <c:numRef>
              <c:f>SuperServo!$AL$16:$AL$26</c:f>
              <c:numCache/>
            </c:numRef>
          </c:yVal>
          <c:smooth val="1"/>
        </c:ser>
        <c:ser>
          <c:idx val="1"/>
          <c:order val="2"/>
          <c:tx>
            <c:v>Current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SuperServo!$AJ$5</c:f>
              <c:numCache/>
            </c:numRef>
          </c:xVal>
          <c:yVal>
            <c:numRef>
              <c:f>SuperServo!$AL$5</c:f>
              <c:numCache/>
            </c:numRef>
          </c:yVal>
          <c:smooth val="1"/>
        </c:ser>
        <c:axId val="4189995"/>
        <c:axId val="37709956"/>
      </c:scatterChart>
      <c:valAx>
        <c:axId val="4189995"/>
        <c:scaling>
          <c:orientation val="minMax"/>
          <c:max val="1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low"/>
        <c:crossAx val="37709956"/>
        <c:crosses val="autoZero"/>
        <c:crossBetween val="midCat"/>
        <c:dispUnits/>
        <c:majorUnit val="0.25"/>
      </c:valAx>
      <c:valAx>
        <c:axId val="37709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Control deflection </a:t>
                </a:r>
                <a:r>
                  <a:rPr lang="en-US" cap="none" sz="800" b="0" i="0" u="sng" baseline="0">
                    <a:latin typeface="Arial"/>
                    <a:ea typeface="Arial"/>
                    <a:cs typeface="Arial"/>
                  </a:rPr>
                  <a:t>(degrees)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crossAx val="41899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ServoTest!$B$1</c:f>
              <c:strCache>
                <c:ptCount val="1"/>
                <c:pt idx="0">
                  <c:v>M4 ts51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ServoTest!$A$2:$A$5</c:f>
              <c:numCache/>
            </c:numRef>
          </c:xVal>
          <c:yVal>
            <c:numRef>
              <c:f>ServoTest!$B$2:$B$5</c:f>
              <c:numCache/>
            </c:numRef>
          </c:yVal>
          <c:smooth val="1"/>
        </c:ser>
        <c:ser>
          <c:idx val="1"/>
          <c:order val="1"/>
          <c:tx>
            <c:strRef>
              <c:f>ServoTest!$C$1</c:f>
              <c:strCache>
                <c:ptCount val="1"/>
                <c:pt idx="0">
                  <c:v>M5 ts51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ServoTest!$A$2:$A$5</c:f>
              <c:numCache/>
            </c:numRef>
          </c:xVal>
          <c:yVal>
            <c:numRef>
              <c:f>ServoTest!$C$2:$C$5</c:f>
              <c:numCache/>
            </c:numRef>
          </c:yVal>
          <c:smooth val="1"/>
        </c:ser>
        <c:ser>
          <c:idx val="2"/>
          <c:order val="2"/>
          <c:tx>
            <c:strRef>
              <c:f>ServoTest!$D$1</c:f>
              <c:strCache>
                <c:ptCount val="1"/>
                <c:pt idx="0">
                  <c:v>H4 ts51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ServoTest!$A$2:$A$5</c:f>
              <c:numCache/>
            </c:numRef>
          </c:xVal>
          <c:yVal>
            <c:numRef>
              <c:f>ServoTest!$D$2:$D$5</c:f>
              <c:numCache/>
            </c:numRef>
          </c:yVal>
          <c:smooth val="1"/>
        </c:ser>
        <c:ser>
          <c:idx val="3"/>
          <c:order val="3"/>
          <c:tx>
            <c:strRef>
              <c:f>ServoTest!$E$1</c:f>
              <c:strCache>
                <c:ptCount val="1"/>
                <c:pt idx="0">
                  <c:v>H5 ts51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ServoTest!$A$2:$A$5</c:f>
              <c:numCache/>
            </c:numRef>
          </c:xVal>
          <c:yVal>
            <c:numRef>
              <c:f>ServoTest!$E$2:$E$5</c:f>
              <c:numCache/>
            </c:numRef>
          </c:yVal>
          <c:smooth val="1"/>
        </c:ser>
        <c:axId val="3845285"/>
        <c:axId val="34607566"/>
      </c:scatterChart>
      <c:valAx>
        <c:axId val="3845285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Degrees off center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07566"/>
        <c:crosses val="autoZero"/>
        <c:crossBetween val="midCat"/>
        <c:dispUnits/>
      </c:valAx>
      <c:valAx>
        <c:axId val="34607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Torque (oz 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52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ServoTest!$F$1</c:f>
              <c:strCache>
                <c:ptCount val="1"/>
                <c:pt idx="0">
                  <c:v>M4 ts11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ServoTest!$A$2:$A$5</c:f>
              <c:numCache/>
            </c:numRef>
          </c:xVal>
          <c:yVal>
            <c:numRef>
              <c:f>ServoTest!$F$2:$F$5</c:f>
              <c:numCache/>
            </c:numRef>
          </c:yVal>
          <c:smooth val="1"/>
        </c:ser>
        <c:ser>
          <c:idx val="1"/>
          <c:order val="1"/>
          <c:tx>
            <c:strRef>
              <c:f>ServoTest!$G$1</c:f>
              <c:strCache>
                <c:ptCount val="1"/>
                <c:pt idx="0">
                  <c:v>M5 ts11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ServoTest!$A$2:$A$5</c:f>
              <c:numCache/>
            </c:numRef>
          </c:xVal>
          <c:yVal>
            <c:numRef>
              <c:f>ServoTest!$G$2:$G$5</c:f>
              <c:numCache/>
            </c:numRef>
          </c:yVal>
          <c:smooth val="1"/>
        </c:ser>
        <c:ser>
          <c:idx val="2"/>
          <c:order val="2"/>
          <c:tx>
            <c:strRef>
              <c:f>ServoTest!$H$1</c:f>
              <c:strCache>
                <c:ptCount val="1"/>
                <c:pt idx="0">
                  <c:v>H4 ts11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ServoTest!$A$2:$A$5</c:f>
              <c:numCache/>
            </c:numRef>
          </c:xVal>
          <c:yVal>
            <c:numRef>
              <c:f>ServoTest!$H$2:$H$5</c:f>
              <c:numCache/>
            </c:numRef>
          </c:yVal>
          <c:smooth val="1"/>
        </c:ser>
        <c:ser>
          <c:idx val="3"/>
          <c:order val="3"/>
          <c:tx>
            <c:strRef>
              <c:f>ServoTest!$I$1</c:f>
              <c:strCache>
                <c:ptCount val="1"/>
                <c:pt idx="0">
                  <c:v>H5 ts11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ServoTest!$A$2:$A$5</c:f>
              <c:numCache/>
            </c:numRef>
          </c:xVal>
          <c:yVal>
            <c:numRef>
              <c:f>ServoTest!$I$2:$I$5</c:f>
              <c:numCache/>
            </c:numRef>
          </c:yVal>
          <c:smooth val="1"/>
        </c:ser>
        <c:axId val="43032639"/>
        <c:axId val="51749432"/>
      </c:scatterChart>
      <c:valAx>
        <c:axId val="43032639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Degrees off center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749432"/>
        <c:crosses val="autoZero"/>
        <c:crossBetween val="midCat"/>
        <c:dispUnits/>
      </c:valAx>
      <c:valAx>
        <c:axId val="51749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Torque (oz 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0326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ServoTest!$J$1</c:f>
              <c:strCache>
                <c:ptCount val="1"/>
                <c:pt idx="0">
                  <c:v>M4 ts57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ServoTest!$A$2:$A$5</c:f>
              <c:numCache/>
            </c:numRef>
          </c:xVal>
          <c:yVal>
            <c:numRef>
              <c:f>ServoTest!$J$2:$J$5</c:f>
              <c:numCache/>
            </c:numRef>
          </c:yVal>
          <c:smooth val="1"/>
        </c:ser>
        <c:ser>
          <c:idx val="1"/>
          <c:order val="1"/>
          <c:tx>
            <c:strRef>
              <c:f>ServoTest!$K$1</c:f>
              <c:strCache>
                <c:ptCount val="1"/>
                <c:pt idx="0">
                  <c:v>M5 ts57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ServoTest!$A$2:$A$5</c:f>
              <c:numCache/>
            </c:numRef>
          </c:xVal>
          <c:yVal>
            <c:numRef>
              <c:f>ServoTest!$K$2:$K$5</c:f>
              <c:numCache/>
            </c:numRef>
          </c:yVal>
          <c:smooth val="1"/>
        </c:ser>
        <c:ser>
          <c:idx val="2"/>
          <c:order val="2"/>
          <c:tx>
            <c:strRef>
              <c:f>ServoTest!$L$1</c:f>
              <c:strCache>
                <c:ptCount val="1"/>
                <c:pt idx="0">
                  <c:v>H4 ts57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ServoTest!$A$2:$A$5</c:f>
              <c:numCache/>
            </c:numRef>
          </c:xVal>
          <c:yVal>
            <c:numRef>
              <c:f>ServoTest!$L$2:$L$5</c:f>
              <c:numCache/>
            </c:numRef>
          </c:yVal>
          <c:smooth val="1"/>
        </c:ser>
        <c:ser>
          <c:idx val="3"/>
          <c:order val="3"/>
          <c:tx>
            <c:strRef>
              <c:f>ServoTest!$M$1</c:f>
              <c:strCache>
                <c:ptCount val="1"/>
                <c:pt idx="0">
                  <c:v>H5 ts57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ServoTest!$A$2:$A$5</c:f>
              <c:numCache/>
            </c:numRef>
          </c:xVal>
          <c:yVal>
            <c:numRef>
              <c:f>ServoTest!$M$2:$M$5</c:f>
              <c:numCache/>
            </c:numRef>
          </c:yVal>
          <c:smooth val="1"/>
        </c:ser>
        <c:axId val="63091705"/>
        <c:axId val="30954434"/>
      </c:scatterChart>
      <c:valAx>
        <c:axId val="63091705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Degrees off center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54434"/>
        <c:crosses val="autoZero"/>
        <c:crossBetween val="midCat"/>
        <c:dispUnits/>
      </c:valAx>
      <c:valAx>
        <c:axId val="30954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Torque (oz 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917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ServoTest!$N$1</c:f>
              <c:strCache>
                <c:ptCount val="1"/>
                <c:pt idx="0">
                  <c:v>M4 hs422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ServoTest!$A$2:$A$5</c:f>
              <c:numCache/>
            </c:numRef>
          </c:xVal>
          <c:yVal>
            <c:numRef>
              <c:f>ServoTest!$N$2:$N$5</c:f>
              <c:numCache/>
            </c:numRef>
          </c:yVal>
          <c:smooth val="1"/>
        </c:ser>
        <c:ser>
          <c:idx val="1"/>
          <c:order val="1"/>
          <c:tx>
            <c:strRef>
              <c:f>ServoTest!$O$1</c:f>
              <c:strCache>
                <c:ptCount val="1"/>
                <c:pt idx="0">
                  <c:v>M5 hs422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ServoTest!$A$2:$A$5</c:f>
              <c:numCache/>
            </c:numRef>
          </c:xVal>
          <c:yVal>
            <c:numRef>
              <c:f>ServoTest!$O$2:$O$5</c:f>
              <c:numCache/>
            </c:numRef>
          </c:yVal>
          <c:smooth val="1"/>
        </c:ser>
        <c:ser>
          <c:idx val="2"/>
          <c:order val="2"/>
          <c:tx>
            <c:strRef>
              <c:f>ServoTest!$P$1</c:f>
              <c:strCache>
                <c:ptCount val="1"/>
                <c:pt idx="0">
                  <c:v>H4 hs422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ServoTest!$A$2:$A$5</c:f>
              <c:numCache/>
            </c:numRef>
          </c:xVal>
          <c:yVal>
            <c:numRef>
              <c:f>ServoTest!$P$2:$P$5</c:f>
              <c:numCache/>
            </c:numRef>
          </c:yVal>
          <c:smooth val="1"/>
        </c:ser>
        <c:ser>
          <c:idx val="3"/>
          <c:order val="3"/>
          <c:tx>
            <c:strRef>
              <c:f>ServoTest!$Q$1</c:f>
              <c:strCache>
                <c:ptCount val="1"/>
                <c:pt idx="0">
                  <c:v>H5 hs422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ServoTest!$A$2:$A$5</c:f>
              <c:numCache/>
            </c:numRef>
          </c:xVal>
          <c:yVal>
            <c:numRef>
              <c:f>ServoTest!$Q$2:$Q$5</c:f>
              <c:numCache/>
            </c:numRef>
          </c:yVal>
          <c:smooth val="1"/>
        </c:ser>
        <c:axId val="10154451"/>
        <c:axId val="24281196"/>
      </c:scatterChart>
      <c:valAx>
        <c:axId val="10154451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Degrees off center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81196"/>
        <c:crosses val="autoZero"/>
        <c:crossBetween val="midCat"/>
        <c:dispUnits/>
      </c:valAx>
      <c:valAx>
        <c:axId val="24281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Torque (oz 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544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ServoTest!$R$1</c:f>
              <c:strCache>
                <c:ptCount val="1"/>
                <c:pt idx="0">
                  <c:v>M4 jr517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ServoTest!$A$2:$A$5</c:f>
              <c:numCache/>
            </c:numRef>
          </c:xVal>
          <c:yVal>
            <c:numRef>
              <c:f>ServoTest!$R$2:$R$5</c:f>
              <c:numCache/>
            </c:numRef>
          </c:yVal>
          <c:smooth val="1"/>
        </c:ser>
        <c:ser>
          <c:idx val="1"/>
          <c:order val="1"/>
          <c:tx>
            <c:strRef>
              <c:f>ServoTest!$S$1</c:f>
              <c:strCache>
                <c:ptCount val="1"/>
                <c:pt idx="0">
                  <c:v>M5 jr517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ServoTest!$A$2:$A$5</c:f>
              <c:numCache/>
            </c:numRef>
          </c:xVal>
          <c:yVal>
            <c:numRef>
              <c:f>ServoTest!$S$2:$S$5</c:f>
              <c:numCache/>
            </c:numRef>
          </c:yVal>
          <c:smooth val="1"/>
        </c:ser>
        <c:ser>
          <c:idx val="2"/>
          <c:order val="2"/>
          <c:tx>
            <c:strRef>
              <c:f>ServoTest!$T$1</c:f>
              <c:strCache>
                <c:ptCount val="1"/>
                <c:pt idx="0">
                  <c:v>H4 jr517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ServoTest!$A$2:$A$5</c:f>
              <c:numCache/>
            </c:numRef>
          </c:xVal>
          <c:yVal>
            <c:numRef>
              <c:f>ServoTest!$T$2:$T$5</c:f>
              <c:numCache/>
            </c:numRef>
          </c:yVal>
          <c:smooth val="1"/>
        </c:ser>
        <c:ser>
          <c:idx val="3"/>
          <c:order val="3"/>
          <c:tx>
            <c:strRef>
              <c:f>ServoTest!$U$1</c:f>
              <c:strCache>
                <c:ptCount val="1"/>
                <c:pt idx="0">
                  <c:v>H5 jr517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ServoTest!$A$2:$A$5</c:f>
              <c:numCache/>
            </c:numRef>
          </c:xVal>
          <c:yVal>
            <c:numRef>
              <c:f>ServoTest!$U$2:$U$5</c:f>
              <c:numCache/>
            </c:numRef>
          </c:yVal>
          <c:smooth val="1"/>
        </c:ser>
        <c:axId val="17204173"/>
        <c:axId val="20619830"/>
      </c:scatterChart>
      <c:valAx>
        <c:axId val="17204173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Degrees off center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19830"/>
        <c:crosses val="autoZero"/>
        <c:crossBetween val="midCat"/>
        <c:dispUnits/>
      </c:valAx>
      <c:valAx>
        <c:axId val="20619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Torque (oz 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041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Rudder Torque (oz-in) vs. Deflection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8"/>
          <c:w val="0.924"/>
          <c:h val="0.822"/>
        </c:manualLayout>
      </c:layout>
      <c:scatterChart>
        <c:scatterStyle val="smooth"/>
        <c:varyColors val="0"/>
        <c:ser>
          <c:idx val="0"/>
          <c:order val="0"/>
          <c:tx>
            <c:strRef>
              <c:f>SimpleServo!$Y$3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SimpleServo!$P$20:$P$26</c:f>
              <c:numCache/>
            </c:numRef>
          </c:xVal>
          <c:yVal>
            <c:numRef>
              <c:f>SimpleServo!$Y$20:$Y$26</c:f>
              <c:numCache/>
            </c:numRef>
          </c:yVal>
          <c:smooth val="1"/>
        </c:ser>
        <c:ser>
          <c:idx val="1"/>
          <c:order val="1"/>
          <c:tx>
            <c:strRef>
              <c:f>SimpleServo!$W$3</c:f>
              <c:strCache>
                <c:ptCount val="1"/>
                <c:pt idx="0">
                  <c:v>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SimpleServo!$P$20:$P$26</c:f>
              <c:numCache/>
            </c:numRef>
          </c:xVal>
          <c:yVal>
            <c:numRef>
              <c:f>SimpleServo!$W$20:$W$26</c:f>
              <c:numCache/>
            </c:numRef>
          </c:yVal>
          <c:smooth val="1"/>
        </c:ser>
        <c:ser>
          <c:idx val="2"/>
          <c:order val="2"/>
          <c:tx>
            <c:strRef>
              <c:f>SimpleServo!$U$3</c:f>
              <c:strCache>
                <c:ptCount val="1"/>
                <c:pt idx="0">
                  <c:v>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SimpleServo!$P$20:$P$26</c:f>
              <c:numCache/>
            </c:numRef>
          </c:xVal>
          <c:yVal>
            <c:numRef>
              <c:f>SimpleServo!$U$20:$U$26</c:f>
              <c:numCache/>
            </c:numRef>
          </c:yVal>
          <c:smooth val="1"/>
        </c:ser>
        <c:axId val="55023921"/>
        <c:axId val="25453242"/>
      </c:scatterChart>
      <c:valAx>
        <c:axId val="55023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Surface Deflection (degrees)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453242"/>
        <c:crosses val="autoZero"/>
        <c:crossBetween val="midCat"/>
        <c:dispUnits/>
      </c:valAx>
      <c:valAx>
        <c:axId val="254532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239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625"/>
          <c:y val="0.08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685"/>
          <c:w val="0.9325"/>
          <c:h val="0.865"/>
        </c:manualLayout>
      </c:layout>
      <c:scatterChart>
        <c:scatterStyle val="smooth"/>
        <c:varyColors val="0"/>
        <c:ser>
          <c:idx val="0"/>
          <c:order val="0"/>
          <c:tx>
            <c:v>Rudder+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StdServo!$Q$22:$Q$29</c:f>
              <c:numCache/>
            </c:numRef>
          </c:xVal>
          <c:yVal>
            <c:numRef>
              <c:f>StdServo!$Z$22:$Z$29</c:f>
              <c:numCache/>
            </c:numRef>
          </c:yVal>
          <c:smooth val="1"/>
        </c:ser>
        <c:ser>
          <c:idx val="1"/>
          <c:order val="1"/>
          <c:tx>
            <c:v>Rudder-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StdServo!$AC$22:$AC$29</c:f>
              <c:numCache/>
            </c:numRef>
          </c:xVal>
          <c:yVal>
            <c:numRef>
              <c:f>StdServo!$AL$22:$AL$29</c:f>
              <c:numCache/>
            </c:numRef>
          </c:yVal>
          <c:smooth val="1"/>
        </c:ser>
        <c:axId val="27752587"/>
        <c:axId val="48446692"/>
      </c:scatterChart>
      <c:valAx>
        <c:axId val="27752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Surface Deflection (degrees)</a:t>
                </a:r>
              </a:p>
            </c:rich>
          </c:tx>
          <c:layout>
            <c:manualLayout>
              <c:xMode val="factor"/>
              <c:yMode val="factor"/>
              <c:x val="0.006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46692"/>
        <c:crosses val="autoZero"/>
        <c:crossBetween val="midCat"/>
        <c:dispUnits/>
      </c:valAx>
      <c:valAx>
        <c:axId val="484466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7525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65"/>
          <c:y val="0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685"/>
          <c:w val="0.9325"/>
          <c:h val="0.865"/>
        </c:manualLayout>
      </c:layout>
      <c:scatterChart>
        <c:scatterStyle val="smooth"/>
        <c:varyColors val="0"/>
        <c:ser>
          <c:idx val="0"/>
          <c:order val="0"/>
          <c:tx>
            <c:v>Elevator+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StdServo!$Q$14:$Q$21</c:f>
              <c:numCache/>
            </c:numRef>
          </c:xVal>
          <c:yVal>
            <c:numRef>
              <c:f>StdServo!$Z$14:$Z$21</c:f>
              <c:numCache/>
            </c:numRef>
          </c:yVal>
          <c:smooth val="1"/>
        </c:ser>
        <c:ser>
          <c:idx val="1"/>
          <c:order val="1"/>
          <c:tx>
            <c:v>Elevator-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StdServo!$AC$14:$AC$21</c:f>
              <c:numCache/>
            </c:numRef>
          </c:xVal>
          <c:yVal>
            <c:numRef>
              <c:f>StdServo!$AL$14:$AL$21</c:f>
              <c:numCache/>
            </c:numRef>
          </c:yVal>
          <c:smooth val="1"/>
        </c:ser>
        <c:axId val="33367045"/>
        <c:axId val="31867950"/>
      </c:scatterChart>
      <c:valAx>
        <c:axId val="33367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Surface Deflection (degrees)</a:t>
                </a:r>
              </a:p>
            </c:rich>
          </c:tx>
          <c:layout>
            <c:manualLayout>
              <c:xMode val="factor"/>
              <c:yMode val="factor"/>
              <c:x val="0.006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67950"/>
        <c:crosses val="autoZero"/>
        <c:crossBetween val="midCat"/>
        <c:dispUnits/>
      </c:valAx>
      <c:valAx>
        <c:axId val="31867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3670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8"/>
          <c:y val="0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"/>
          <c:w val="0.942"/>
          <c:h val="1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StdServo!$AO$16:$AO$19</c:f>
              <c:numCache/>
            </c:numRef>
          </c:xVal>
          <c:yVal>
            <c:numRef>
              <c:f>StdServo!$AR$16:$AR$19</c:f>
              <c:numCache/>
            </c:numRef>
          </c:yVal>
          <c:smooth val="0"/>
        </c:ser>
        <c:ser>
          <c:idx val="2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StdServo!$AO$23:$AO$26</c:f>
              <c:numCache/>
            </c:numRef>
          </c:xVal>
          <c:yVal>
            <c:numRef>
              <c:f>StdServo!$AR$23:$AR$26</c:f>
              <c:numCache/>
            </c:numRef>
          </c:yVal>
          <c:smooth val="0"/>
        </c:ser>
        <c:ser>
          <c:idx val="4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StdServo!$AO$20:$AO$21</c:f>
              <c:numCache/>
            </c:numRef>
          </c:xVal>
          <c:yVal>
            <c:numRef>
              <c:f>StdServo!$AR$20:$AR$21</c:f>
              <c:numCache/>
            </c:numRef>
          </c:yVal>
          <c:smooth val="0"/>
        </c:ser>
        <c:ser>
          <c:idx val="5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StdServo!$AO$27:$AO$28</c:f>
              <c:numCache/>
            </c:numRef>
          </c:xVal>
          <c:yVal>
            <c:numRef>
              <c:f>StdServo!$AR$27:$AR$28</c:f>
              <c:numCache/>
            </c:numRef>
          </c:yVal>
          <c:smooth val="0"/>
        </c:ser>
        <c:ser>
          <c:idx val="3"/>
          <c:order val="4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StdServo!$AO$13:$AO$14</c:f>
              <c:numCache/>
            </c:numRef>
          </c:xVal>
          <c:yVal>
            <c:numRef>
              <c:f>StdServo!$AR$13:$AR$14</c:f>
              <c:numCache/>
            </c:numRef>
          </c:yVal>
          <c:smooth val="0"/>
        </c:ser>
        <c:ser>
          <c:idx val="0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StdServo!$AO$9:$AO$12</c:f>
              <c:numCache/>
            </c:numRef>
          </c:xVal>
          <c:yVal>
            <c:numRef>
              <c:f>StdServo!$AR$9:$AR$12</c:f>
              <c:numCache/>
            </c:numRef>
          </c:yVal>
          <c:smooth val="0"/>
        </c:ser>
        <c:axId val="18376095"/>
        <c:axId val="31167128"/>
      </c:scatterChart>
      <c:valAx>
        <c:axId val="18376095"/>
        <c:scaling>
          <c:orientation val="minMax"/>
          <c:max val="22"/>
          <c:min val="0"/>
        </c:scaling>
        <c:axPos val="b"/>
        <c:delete val="1"/>
        <c:majorTickMark val="out"/>
        <c:minorTickMark val="none"/>
        <c:tickLblPos val="nextTo"/>
        <c:crossAx val="31167128"/>
        <c:crosses val="autoZero"/>
        <c:crossBetween val="midCat"/>
        <c:dispUnits/>
        <c:majorUnit val="2"/>
      </c:valAx>
      <c:valAx>
        <c:axId val="31167128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Control Geometry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8376095"/>
        <c:crossesAt val="0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StdServo!$AP$16:$AP$19</c:f>
              <c:numCache/>
            </c:numRef>
          </c:xVal>
          <c:yVal>
            <c:numRef>
              <c:f>StdServo!$AS$16:$AS$19</c:f>
              <c:numCache/>
            </c:numRef>
          </c:yVal>
          <c:smooth val="0"/>
        </c:ser>
        <c:ser>
          <c:idx val="2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StdServo!$AP$23:$AP$26</c:f>
              <c:numCache/>
            </c:numRef>
          </c:xVal>
          <c:yVal>
            <c:numRef>
              <c:f>StdServo!$AS$23:$AS$26</c:f>
              <c:numCache/>
            </c:numRef>
          </c:yVal>
          <c:smooth val="0"/>
        </c:ser>
        <c:ser>
          <c:idx val="4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StdServo!$AP$20:$AP$21</c:f>
              <c:numCache/>
            </c:numRef>
          </c:xVal>
          <c:yVal>
            <c:numRef>
              <c:f>StdServo!$AS$20:$AS$21</c:f>
              <c:numCache/>
            </c:numRef>
          </c:yVal>
          <c:smooth val="0"/>
        </c:ser>
        <c:ser>
          <c:idx val="5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StdServo!$AP$27:$AP$28</c:f>
              <c:numCache/>
            </c:numRef>
          </c:xVal>
          <c:yVal>
            <c:numRef>
              <c:f>StdServo!$AS$27:$AS$28</c:f>
              <c:numCache/>
            </c:numRef>
          </c:yVal>
          <c:smooth val="0"/>
        </c:ser>
        <c:ser>
          <c:idx val="3"/>
          <c:order val="4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StdServo!$AP$13:$AP$14</c:f>
              <c:numCache/>
            </c:numRef>
          </c:xVal>
          <c:yVal>
            <c:numRef>
              <c:f>StdServo!$AS$13:$AS$14</c:f>
              <c:numCache/>
            </c:numRef>
          </c:yVal>
          <c:smooth val="0"/>
        </c:ser>
        <c:ser>
          <c:idx val="0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StdServo!$AP$9:$AP$12</c:f>
              <c:numCache/>
            </c:numRef>
          </c:xVal>
          <c:yVal>
            <c:numRef>
              <c:f>StdServo!$AS$9:$AS$12</c:f>
              <c:numCache/>
            </c:numRef>
          </c:yVal>
          <c:smooth val="0"/>
        </c:ser>
        <c:axId val="12068697"/>
        <c:axId val="41509410"/>
      </c:scatterChart>
      <c:valAx>
        <c:axId val="12068697"/>
        <c:scaling>
          <c:orientation val="minMax"/>
          <c:max val="22"/>
          <c:min val="0"/>
        </c:scaling>
        <c:axPos val="b"/>
        <c:delete val="1"/>
        <c:majorTickMark val="out"/>
        <c:minorTickMark val="none"/>
        <c:tickLblPos val="nextTo"/>
        <c:crossAx val="41509410"/>
        <c:crosses val="autoZero"/>
        <c:crossBetween val="midCat"/>
        <c:dispUnits/>
        <c:majorUnit val="2"/>
      </c:valAx>
      <c:valAx>
        <c:axId val="41509410"/>
        <c:scaling>
          <c:orientation val="minMax"/>
          <c:max val="10"/>
          <c:min val="0"/>
        </c:scaling>
        <c:axPos val="l"/>
        <c:delete val="1"/>
        <c:majorTickMark val="out"/>
        <c:minorTickMark val="none"/>
        <c:tickLblPos val="nextTo"/>
        <c:crossAx val="12068697"/>
        <c:crossesAt val="0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StdServo!$AQ$16:$AQ$19</c:f>
              <c:numCache/>
            </c:numRef>
          </c:xVal>
          <c:yVal>
            <c:numRef>
              <c:f>StdServo!$AT$16:$AT$19</c:f>
              <c:numCache/>
            </c:numRef>
          </c:yVal>
          <c:smooth val="0"/>
        </c:ser>
        <c:ser>
          <c:idx val="2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StdServo!$AQ$23:$AQ$26</c:f>
              <c:numCache/>
            </c:numRef>
          </c:xVal>
          <c:yVal>
            <c:numRef>
              <c:f>StdServo!$AT$23:$AT$26</c:f>
              <c:numCache/>
            </c:numRef>
          </c:yVal>
          <c:smooth val="0"/>
        </c:ser>
        <c:ser>
          <c:idx val="4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StdServo!$AQ$20:$AQ$21</c:f>
              <c:numCache/>
            </c:numRef>
          </c:xVal>
          <c:yVal>
            <c:numRef>
              <c:f>StdServo!$AT$20:$AT$21</c:f>
              <c:numCache/>
            </c:numRef>
          </c:yVal>
          <c:smooth val="0"/>
        </c:ser>
        <c:ser>
          <c:idx val="5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StdServo!$AQ$27:$AQ$28</c:f>
              <c:numCache/>
            </c:numRef>
          </c:xVal>
          <c:yVal>
            <c:numRef>
              <c:f>StdServo!$AT$27:$AT$28</c:f>
              <c:numCache/>
            </c:numRef>
          </c:yVal>
          <c:smooth val="0"/>
        </c:ser>
        <c:ser>
          <c:idx val="3"/>
          <c:order val="4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StdServo!$AQ$13:$AQ$14</c:f>
              <c:numCache/>
            </c:numRef>
          </c:xVal>
          <c:yVal>
            <c:numRef>
              <c:f>StdServo!$AT$13:$AT$14</c:f>
              <c:numCache/>
            </c:numRef>
          </c:yVal>
          <c:smooth val="0"/>
        </c:ser>
        <c:ser>
          <c:idx val="0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StdServo!$AQ$9:$AQ$12</c:f>
              <c:numCache/>
            </c:numRef>
          </c:xVal>
          <c:yVal>
            <c:numRef>
              <c:f>StdServo!$AT$9:$AT$12</c:f>
              <c:numCache/>
            </c:numRef>
          </c:yVal>
          <c:smooth val="0"/>
        </c:ser>
        <c:axId val="38040371"/>
        <c:axId val="6819020"/>
      </c:scatterChart>
      <c:valAx>
        <c:axId val="38040371"/>
        <c:scaling>
          <c:orientation val="minMax"/>
          <c:max val="22"/>
          <c:min val="0"/>
        </c:scaling>
        <c:axPos val="b"/>
        <c:delete val="1"/>
        <c:majorTickMark val="out"/>
        <c:minorTickMark val="none"/>
        <c:tickLblPos val="nextTo"/>
        <c:crossAx val="6819020"/>
        <c:crosses val="autoZero"/>
        <c:crossBetween val="midCat"/>
        <c:dispUnits/>
        <c:majorUnit val="2"/>
      </c:valAx>
      <c:valAx>
        <c:axId val="6819020"/>
        <c:scaling>
          <c:orientation val="minMax"/>
          <c:max val="10"/>
          <c:min val="0"/>
        </c:scaling>
        <c:axPos val="l"/>
        <c:delete val="1"/>
        <c:majorTickMark val="out"/>
        <c:minorTickMark val="none"/>
        <c:tickLblPos val="nextTo"/>
        <c:crossAx val="38040371"/>
        <c:crossesAt val="0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0.0685"/>
          <c:w val="0.88675"/>
          <c:h val="0.86225"/>
        </c:manualLayout>
      </c:layout>
      <c:scatterChart>
        <c:scatterStyle val="smooth"/>
        <c:varyColors val="0"/>
        <c:ser>
          <c:idx val="0"/>
          <c:order val="0"/>
          <c:tx>
            <c:v>Aileron+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StdServo!$Q$6:$Q$13</c:f>
              <c:numCache/>
            </c:numRef>
          </c:xVal>
          <c:yVal>
            <c:numRef>
              <c:f>StdServo!$Z$6:$Z$13</c:f>
              <c:numCache/>
            </c:numRef>
          </c:yVal>
          <c:smooth val="1"/>
        </c:ser>
        <c:ser>
          <c:idx val="1"/>
          <c:order val="1"/>
          <c:tx>
            <c:v>Aileron-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StdServo!$AC$6:$AC$13</c:f>
              <c:numCache/>
            </c:numRef>
          </c:xVal>
          <c:yVal>
            <c:numRef>
              <c:f>StdServo!$AL$6:$AL$13</c:f>
              <c:numCache/>
            </c:numRef>
          </c:yVal>
          <c:smooth val="1"/>
        </c:ser>
        <c:axId val="61371181"/>
        <c:axId val="15469718"/>
      </c:scatterChart>
      <c:valAx>
        <c:axId val="61371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Surface Deflection (degrees)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5469718"/>
        <c:crosses val="autoZero"/>
        <c:crossBetween val="midCat"/>
        <c:dispUnits/>
      </c:valAx>
      <c:valAx>
        <c:axId val="15469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Servo Torque (oz-in) @ Max Speed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13711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75"/>
          <c:y val="0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9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2762250" y="1971675"/>
        <a:ext cx="25908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5</xdr:col>
      <xdr:colOff>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171450" y="1971675"/>
        <a:ext cx="259080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12</xdr:row>
      <xdr:rowOff>0</xdr:rowOff>
    </xdr:from>
    <xdr:to>
      <xdr:col>13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5353050" y="1971675"/>
        <a:ext cx="2590800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19</xdr:row>
      <xdr:rowOff>0</xdr:rowOff>
    </xdr:from>
    <xdr:to>
      <xdr:col>14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6086475" y="3114675"/>
        <a:ext cx="28575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228975" y="3114675"/>
        <a:ext cx="28575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3" name="Chart 16"/>
        <xdr:cNvGraphicFramePr/>
      </xdr:nvGraphicFramePr>
      <xdr:xfrm>
        <a:off x="180975" y="5410200"/>
        <a:ext cx="3048000" cy="1295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33</xdr:row>
      <xdr:rowOff>0</xdr:rowOff>
    </xdr:from>
    <xdr:to>
      <xdr:col>10</xdr:col>
      <xdr:colOff>0</xdr:colOff>
      <xdr:row>34</xdr:row>
      <xdr:rowOff>0</xdr:rowOff>
    </xdr:to>
    <xdr:graphicFrame>
      <xdr:nvGraphicFramePr>
        <xdr:cNvPr id="4" name="Chart 17"/>
        <xdr:cNvGraphicFramePr/>
      </xdr:nvGraphicFramePr>
      <xdr:xfrm>
        <a:off x="3228975" y="5410200"/>
        <a:ext cx="2857500" cy="1295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5" name="Chart 18"/>
        <xdr:cNvGraphicFramePr/>
      </xdr:nvGraphicFramePr>
      <xdr:xfrm>
        <a:off x="6086475" y="5410200"/>
        <a:ext cx="2857500" cy="1295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6" name="Chart 19"/>
        <xdr:cNvGraphicFramePr/>
      </xdr:nvGraphicFramePr>
      <xdr:xfrm>
        <a:off x="180975" y="3114675"/>
        <a:ext cx="3048000" cy="2295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6</xdr:col>
      <xdr:colOff>0</xdr:colOff>
      <xdr:row>35</xdr:row>
      <xdr:rowOff>0</xdr:rowOff>
    </xdr:to>
    <xdr:graphicFrame>
      <xdr:nvGraphicFramePr>
        <xdr:cNvPr id="7" name="Chart 20"/>
        <xdr:cNvGraphicFramePr/>
      </xdr:nvGraphicFramePr>
      <xdr:xfrm>
        <a:off x="180975" y="6705600"/>
        <a:ext cx="3048000" cy="1838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34</xdr:row>
      <xdr:rowOff>0</xdr:rowOff>
    </xdr:from>
    <xdr:to>
      <xdr:col>10</xdr:col>
      <xdr:colOff>0</xdr:colOff>
      <xdr:row>35</xdr:row>
      <xdr:rowOff>0</xdr:rowOff>
    </xdr:to>
    <xdr:graphicFrame>
      <xdr:nvGraphicFramePr>
        <xdr:cNvPr id="8" name="Chart 21"/>
        <xdr:cNvGraphicFramePr/>
      </xdr:nvGraphicFramePr>
      <xdr:xfrm>
        <a:off x="3228975" y="6705600"/>
        <a:ext cx="2857500" cy="1838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14</xdr:col>
      <xdr:colOff>0</xdr:colOff>
      <xdr:row>35</xdr:row>
      <xdr:rowOff>0</xdr:rowOff>
    </xdr:to>
    <xdr:graphicFrame>
      <xdr:nvGraphicFramePr>
        <xdr:cNvPr id="9" name="Chart 22"/>
        <xdr:cNvGraphicFramePr/>
      </xdr:nvGraphicFramePr>
      <xdr:xfrm>
        <a:off x="6086475" y="6705600"/>
        <a:ext cx="2857500" cy="1838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200025</xdr:colOff>
      <xdr:row>3</xdr:row>
      <xdr:rowOff>0</xdr:rowOff>
    </xdr:from>
    <xdr:to>
      <xdr:col>13</xdr:col>
      <xdr:colOff>676275</xdr:colOff>
      <xdr:row>12</xdr:row>
      <xdr:rowOff>76200</xdr:rowOff>
    </xdr:to>
    <xdr:grpSp>
      <xdr:nvGrpSpPr>
        <xdr:cNvPr id="10" name="Group 23"/>
        <xdr:cNvGrpSpPr>
          <a:grpSpLocks/>
        </xdr:cNvGrpSpPr>
      </xdr:nvGrpSpPr>
      <xdr:grpSpPr>
        <a:xfrm>
          <a:off x="6286500" y="495300"/>
          <a:ext cx="2619375" cy="1543050"/>
          <a:chOff x="660" y="52"/>
          <a:chExt cx="275" cy="162"/>
        </a:xfrm>
        <a:solidFill>
          <a:srgbClr val="FFFFFF"/>
        </a:solidFill>
      </xdr:grpSpPr>
      <xdr:sp>
        <xdr:nvSpPr>
          <xdr:cNvPr id="11" name="Rectangle 24"/>
          <xdr:cNvSpPr>
            <a:spLocks/>
          </xdr:cNvSpPr>
        </xdr:nvSpPr>
        <xdr:spPr>
          <a:xfrm>
            <a:off x="660" y="52"/>
            <a:ext cx="275" cy="16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25"/>
          <xdr:cNvGrpSpPr>
            <a:grpSpLocks/>
          </xdr:cNvGrpSpPr>
        </xdr:nvGrpSpPr>
        <xdr:grpSpPr>
          <a:xfrm>
            <a:off x="716" y="83"/>
            <a:ext cx="212" cy="36"/>
            <a:chOff x="685" y="102"/>
            <a:chExt cx="180" cy="34"/>
          </a:xfrm>
          <a:solidFill>
            <a:srgbClr val="FFFFFF"/>
          </a:solidFill>
        </xdr:grpSpPr>
        <xdr:sp>
          <xdr:nvSpPr>
            <xdr:cNvPr id="13" name="Line 26"/>
            <xdr:cNvSpPr>
              <a:spLocks/>
            </xdr:cNvSpPr>
          </xdr:nvSpPr>
          <xdr:spPr>
            <a:xfrm flipV="1">
              <a:off x="685" y="102"/>
              <a:ext cx="30" cy="1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27"/>
            <xdr:cNvSpPr>
              <a:spLocks/>
            </xdr:cNvSpPr>
          </xdr:nvSpPr>
          <xdr:spPr>
            <a:xfrm>
              <a:off x="715" y="102"/>
              <a:ext cx="15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28"/>
            <xdr:cNvSpPr>
              <a:spLocks/>
            </xdr:cNvSpPr>
          </xdr:nvSpPr>
          <xdr:spPr>
            <a:xfrm>
              <a:off x="685" y="119"/>
              <a:ext cx="30" cy="1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29"/>
            <xdr:cNvSpPr>
              <a:spLocks/>
            </xdr:cNvSpPr>
          </xdr:nvSpPr>
          <xdr:spPr>
            <a:xfrm flipV="1">
              <a:off x="715" y="136"/>
              <a:ext cx="15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30"/>
            <xdr:cNvSpPr>
              <a:spLocks/>
            </xdr:cNvSpPr>
          </xdr:nvSpPr>
          <xdr:spPr>
            <a:xfrm>
              <a:off x="865" y="102"/>
              <a:ext cx="0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8" name="Group 31"/>
          <xdr:cNvGrpSpPr>
            <a:grpSpLocks/>
          </xdr:cNvGrpSpPr>
        </xdr:nvGrpSpPr>
        <xdr:grpSpPr>
          <a:xfrm>
            <a:off x="787" y="119"/>
            <a:ext cx="36" cy="76"/>
            <a:chOff x="745" y="136"/>
            <a:chExt cx="30" cy="68"/>
          </a:xfrm>
          <a:solidFill>
            <a:srgbClr val="FFFFFF"/>
          </a:solidFill>
        </xdr:grpSpPr>
        <xdr:sp>
          <xdr:nvSpPr>
            <xdr:cNvPr id="19" name="Line 32"/>
            <xdr:cNvSpPr>
              <a:spLocks/>
            </xdr:cNvSpPr>
          </xdr:nvSpPr>
          <xdr:spPr>
            <a:xfrm>
              <a:off x="745" y="136"/>
              <a:ext cx="0" cy="68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33"/>
            <xdr:cNvSpPr>
              <a:spLocks/>
            </xdr:cNvSpPr>
          </xdr:nvSpPr>
          <xdr:spPr>
            <a:xfrm flipV="1">
              <a:off x="745" y="136"/>
              <a:ext cx="30" cy="68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1" name="Line 34"/>
          <xdr:cNvSpPr>
            <a:spLocks/>
          </xdr:cNvSpPr>
        </xdr:nvSpPr>
        <xdr:spPr>
          <a:xfrm flipH="1">
            <a:off x="678" y="195"/>
            <a:ext cx="109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35"/>
          <xdr:cNvSpPr>
            <a:spLocks/>
          </xdr:cNvSpPr>
        </xdr:nvSpPr>
        <xdr:spPr>
          <a:xfrm>
            <a:off x="858" y="100"/>
            <a:ext cx="0" cy="95"/>
          </a:xfrm>
          <a:prstGeom prst="line">
            <a:avLst/>
          </a:prstGeom>
          <a:noFill/>
          <a:ln w="12700" cmpd="sng">
            <a:solidFill>
              <a:srgbClr val="0000FF"/>
            </a:solidFill>
            <a:prstDash val="sysDash"/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36"/>
          <xdr:cNvSpPr>
            <a:spLocks/>
          </xdr:cNvSpPr>
        </xdr:nvSpPr>
        <xdr:spPr>
          <a:xfrm>
            <a:off x="716" y="63"/>
            <a:ext cx="71" cy="0"/>
          </a:xfrm>
          <a:prstGeom prst="line">
            <a:avLst/>
          </a:prstGeom>
          <a:noFill/>
          <a:ln w="12700" cmpd="sng">
            <a:solidFill>
              <a:srgbClr val="0000FF"/>
            </a:solidFill>
            <a:prstDash val="sysDash"/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TextBox 37"/>
          <xdr:cNvSpPr txBox="1">
            <a:spLocks noChangeArrowheads="1"/>
          </xdr:cNvSpPr>
        </xdr:nvSpPr>
        <xdr:spPr>
          <a:xfrm>
            <a:off x="749" y="63"/>
            <a:ext cx="2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25" name="TextBox 38"/>
          <xdr:cNvSpPr txBox="1">
            <a:spLocks noChangeArrowheads="1"/>
          </xdr:cNvSpPr>
        </xdr:nvSpPr>
        <xdr:spPr>
          <a:xfrm>
            <a:off x="836" y="139"/>
            <a:ext cx="18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26" name="TextBox 39"/>
          <xdr:cNvSpPr txBox="1">
            <a:spLocks noChangeArrowheads="1"/>
          </xdr:cNvSpPr>
        </xdr:nvSpPr>
        <xdr:spPr>
          <a:xfrm>
            <a:off x="710" y="196"/>
            <a:ext cx="6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Pushrod</a:t>
            </a:r>
          </a:p>
        </xdr:txBody>
      </xdr:sp>
      <xdr:sp>
        <xdr:nvSpPr>
          <xdr:cNvPr id="27" name="TextBox 40"/>
          <xdr:cNvSpPr txBox="1">
            <a:spLocks noChangeArrowheads="1"/>
          </xdr:cNvSpPr>
        </xdr:nvSpPr>
        <xdr:spPr>
          <a:xfrm>
            <a:off x="735" y="92"/>
            <a:ext cx="11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Control Surface</a:t>
            </a:r>
          </a:p>
        </xdr:txBody>
      </xdr:sp>
      <xdr:sp>
        <xdr:nvSpPr>
          <xdr:cNvPr id="28" name="TextBox 41"/>
          <xdr:cNvSpPr txBox="1">
            <a:spLocks noChangeArrowheads="1"/>
          </xdr:cNvSpPr>
        </xdr:nvSpPr>
        <xdr:spPr>
          <a:xfrm>
            <a:off x="764" y="169"/>
            <a:ext cx="2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29" name="Oval 42"/>
          <xdr:cNvSpPr>
            <a:spLocks/>
          </xdr:cNvSpPr>
        </xdr:nvSpPr>
        <xdr:spPr>
          <a:xfrm>
            <a:off x="711" y="96"/>
            <a:ext cx="12" cy="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Box 43"/>
          <xdr:cNvSpPr txBox="1">
            <a:spLocks noChangeArrowheads="1"/>
          </xdr:cNvSpPr>
        </xdr:nvSpPr>
        <xdr:spPr>
          <a:xfrm>
            <a:off x="663" y="91"/>
            <a:ext cx="4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Hinge</a:t>
            </a:r>
          </a:p>
        </xdr:txBody>
      </xdr:sp>
      <xdr:sp>
        <xdr:nvSpPr>
          <xdr:cNvPr id="31" name="Arc 44"/>
          <xdr:cNvSpPr>
            <a:spLocks/>
          </xdr:cNvSpPr>
        </xdr:nvSpPr>
        <xdr:spPr>
          <a:xfrm flipH="1">
            <a:off x="756" y="157"/>
            <a:ext cx="31" cy="38"/>
          </a:xfrm>
          <a:prstGeom prst="arc">
            <a:avLst/>
          </a:prstGeom>
          <a:noFill/>
          <a:ln w="9525" cmpd="sng">
            <a:solidFill>
              <a:srgbClr val="0000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8</xdr:col>
      <xdr:colOff>0</xdr:colOff>
      <xdr:row>16</xdr:row>
      <xdr:rowOff>0</xdr:rowOff>
    </xdr:to>
    <xdr:graphicFrame macro="[0]!setaxes">
      <xdr:nvGraphicFramePr>
        <xdr:cNvPr id="1" name="Chart 4"/>
        <xdr:cNvGraphicFramePr/>
      </xdr:nvGraphicFramePr>
      <xdr:xfrm>
        <a:off x="1657350" y="342900"/>
        <a:ext cx="49720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8</xdr:col>
      <xdr:colOff>0</xdr:colOff>
      <xdr:row>18</xdr:row>
      <xdr:rowOff>0</xdr:rowOff>
    </xdr:from>
    <xdr:to>
      <xdr:col>9</xdr:col>
      <xdr:colOff>0</xdr:colOff>
      <xdr:row>32</xdr:row>
      <xdr:rowOff>0</xdr:rowOff>
    </xdr:to>
    <xdr:graphicFrame macro="[0]!axiscondense">
      <xdr:nvGraphicFramePr>
        <xdr:cNvPr id="2" name="Chart 41"/>
        <xdr:cNvGraphicFramePr/>
      </xdr:nvGraphicFramePr>
      <xdr:xfrm>
        <a:off x="6629400" y="3086100"/>
        <a:ext cx="248602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32</xdr:row>
      <xdr:rowOff>0</xdr:rowOff>
    </xdr:to>
    <xdr:graphicFrame macro="[0]!axiscondense">
      <xdr:nvGraphicFramePr>
        <xdr:cNvPr id="3" name="Chart 42"/>
        <xdr:cNvGraphicFramePr/>
      </xdr:nvGraphicFramePr>
      <xdr:xfrm>
        <a:off x="4143375" y="3086100"/>
        <a:ext cx="2486025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32</xdr:row>
      <xdr:rowOff>0</xdr:rowOff>
    </xdr:to>
    <xdr:graphicFrame macro="[0]!axiscondense">
      <xdr:nvGraphicFramePr>
        <xdr:cNvPr id="4" name="Chart 43"/>
        <xdr:cNvGraphicFramePr/>
      </xdr:nvGraphicFramePr>
      <xdr:xfrm>
        <a:off x="1657350" y="3086100"/>
        <a:ext cx="2486025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45</xdr:col>
      <xdr:colOff>0</xdr:colOff>
      <xdr:row>13</xdr:row>
      <xdr:rowOff>0</xdr:rowOff>
    </xdr:from>
    <xdr:to>
      <xdr:col>52</xdr:col>
      <xdr:colOff>0</xdr:colOff>
      <xdr:row>26</xdr:row>
      <xdr:rowOff>0</xdr:rowOff>
    </xdr:to>
    <xdr:graphicFrame macro="[0]!slack">
      <xdr:nvGraphicFramePr>
        <xdr:cNvPr id="5" name="Chart 58"/>
        <xdr:cNvGraphicFramePr/>
      </xdr:nvGraphicFramePr>
      <xdr:xfrm>
        <a:off x="13230225" y="2228850"/>
        <a:ext cx="2667000" cy="2228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45</xdr:col>
      <xdr:colOff>0</xdr:colOff>
      <xdr:row>13</xdr:row>
      <xdr:rowOff>0</xdr:rowOff>
    </xdr:from>
    <xdr:to>
      <xdr:col>52</xdr:col>
      <xdr:colOff>0</xdr:colOff>
      <xdr:row>26</xdr:row>
      <xdr:rowOff>0</xdr:rowOff>
    </xdr:to>
    <xdr:graphicFrame macro="[0]!play">
      <xdr:nvGraphicFramePr>
        <xdr:cNvPr id="6" name="Chart 55"/>
        <xdr:cNvGraphicFramePr/>
      </xdr:nvGraphicFramePr>
      <xdr:xfrm>
        <a:off x="13230225" y="2228850"/>
        <a:ext cx="2667000" cy="2228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16</xdr:row>
      <xdr:rowOff>0</xdr:rowOff>
    </xdr:to>
    <xdr:graphicFrame macro="[0]!conrot">
      <xdr:nvGraphicFramePr>
        <xdr:cNvPr id="7" name="Chart 3"/>
        <xdr:cNvGraphicFramePr/>
      </xdr:nvGraphicFramePr>
      <xdr:xfrm>
        <a:off x="6629400" y="342900"/>
        <a:ext cx="2486025" cy="2400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 fLocksWithSheet="0"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16</xdr:row>
      <xdr:rowOff>0</xdr:rowOff>
    </xdr:to>
    <xdr:graphicFrame macro="[0]!tedef">
      <xdr:nvGraphicFramePr>
        <xdr:cNvPr id="8" name="Chart 56"/>
        <xdr:cNvGraphicFramePr/>
      </xdr:nvGraphicFramePr>
      <xdr:xfrm>
        <a:off x="6629400" y="342900"/>
        <a:ext cx="2486025" cy="2400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5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647700" y="1133475"/>
        <a:ext cx="25908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7</xdr:row>
      <xdr:rowOff>0</xdr:rowOff>
    </xdr:from>
    <xdr:to>
      <xdr:col>9</xdr:col>
      <xdr:colOff>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3238500" y="1133475"/>
        <a:ext cx="25908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7</xdr:row>
      <xdr:rowOff>0</xdr:rowOff>
    </xdr:from>
    <xdr:to>
      <xdr:col>13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5829300" y="1133475"/>
        <a:ext cx="25908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7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8420100" y="1133475"/>
        <a:ext cx="2590800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0</xdr:colOff>
      <xdr:row>7</xdr:row>
      <xdr:rowOff>0</xdr:rowOff>
    </xdr:from>
    <xdr:to>
      <xdr:col>21</xdr:col>
      <xdr:colOff>0</xdr:colOff>
      <xdr:row>23</xdr:row>
      <xdr:rowOff>0</xdr:rowOff>
    </xdr:to>
    <xdr:graphicFrame>
      <xdr:nvGraphicFramePr>
        <xdr:cNvPr id="5" name="Chart 5"/>
        <xdr:cNvGraphicFramePr/>
      </xdr:nvGraphicFramePr>
      <xdr:xfrm>
        <a:off x="11010900" y="1133475"/>
        <a:ext cx="25908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1:AK36"/>
  <sheetViews>
    <sheetView workbookViewId="0" topLeftCell="A1">
      <selection activeCell="K2" sqref="K2"/>
    </sheetView>
  </sheetViews>
  <sheetFormatPr defaultColWidth="9.140625" defaultRowHeight="12.75"/>
  <cols>
    <col min="1" max="1" width="2.57421875" style="158" customWidth="1"/>
    <col min="2" max="13" width="9.7109375" style="158" customWidth="1"/>
    <col min="14" max="14" width="3.00390625" style="158" customWidth="1"/>
    <col min="15" max="15" width="9.7109375" style="158" bestFit="1" customWidth="1"/>
    <col min="16" max="16" width="7.28125" style="158" bestFit="1" customWidth="1"/>
    <col min="17" max="17" width="5.7109375" style="158" bestFit="1" customWidth="1"/>
    <col min="18" max="18" width="4.421875" style="158" customWidth="1"/>
    <col min="19" max="26" width="4.28125" style="158" customWidth="1"/>
    <col min="27" max="16384" width="9.140625" style="158" customWidth="1"/>
  </cols>
  <sheetData>
    <row r="1" spans="12:13" ht="13.5" thickBot="1">
      <c r="L1" s="4"/>
      <c r="M1" s="4"/>
    </row>
    <row r="2" spans="10:37" ht="12.75">
      <c r="J2" s="159" t="s">
        <v>86</v>
      </c>
      <c r="K2" s="89">
        <v>60</v>
      </c>
      <c r="O2" s="128" t="s">
        <v>165</v>
      </c>
      <c r="P2" s="129"/>
      <c r="Q2" s="129"/>
      <c r="R2" s="129"/>
      <c r="S2" s="129"/>
      <c r="T2" s="129"/>
      <c r="U2" s="129"/>
      <c r="V2" s="129"/>
      <c r="W2" s="129"/>
      <c r="X2" s="129"/>
      <c r="Y2" s="130"/>
      <c r="AA2" s="160" t="s">
        <v>145</v>
      </c>
      <c r="AB2" s="161"/>
      <c r="AC2" s="161"/>
      <c r="AD2" s="161"/>
      <c r="AE2" s="162"/>
      <c r="AF2" s="162"/>
      <c r="AG2" s="162"/>
      <c r="AH2" s="162"/>
      <c r="AI2" s="162"/>
      <c r="AJ2" s="162"/>
      <c r="AK2" s="162"/>
    </row>
    <row r="3" spans="10:37" ht="12.75">
      <c r="J3" s="159"/>
      <c r="K3" s="159"/>
      <c r="O3" s="97"/>
      <c r="P3" s="36"/>
      <c r="Q3" s="36"/>
      <c r="R3" s="98" t="s">
        <v>94</v>
      </c>
      <c r="S3" s="99">
        <f aca="true" t="shared" si="0" ref="S3:X3">T3-0.125*$Y$3</f>
        <v>15</v>
      </c>
      <c r="T3" s="99">
        <f t="shared" si="0"/>
        <v>22.5</v>
      </c>
      <c r="U3" s="99">
        <f t="shared" si="0"/>
        <v>30</v>
      </c>
      <c r="V3" s="99">
        <f t="shared" si="0"/>
        <v>37.5</v>
      </c>
      <c r="W3" s="99">
        <f t="shared" si="0"/>
        <v>45</v>
      </c>
      <c r="X3" s="99">
        <f t="shared" si="0"/>
        <v>52.5</v>
      </c>
      <c r="Y3" s="100">
        <f>$K$2</f>
        <v>60</v>
      </c>
      <c r="AA3" s="158" t="s">
        <v>179</v>
      </c>
      <c r="AB3" s="161"/>
      <c r="AC3" s="161"/>
      <c r="AD3" s="161"/>
      <c r="AE3" s="162"/>
      <c r="AF3" s="162"/>
      <c r="AG3" s="162"/>
      <c r="AH3" s="162"/>
      <c r="AI3" s="162"/>
      <c r="AJ3" s="162"/>
      <c r="AK3" s="162"/>
    </row>
    <row r="4" spans="10:37" ht="12.75">
      <c r="J4" s="159"/>
      <c r="K4" s="4" t="s">
        <v>91</v>
      </c>
      <c r="L4" s="4" t="s">
        <v>92</v>
      </c>
      <c r="M4" s="4" t="s">
        <v>93</v>
      </c>
      <c r="O4" s="97"/>
      <c r="P4" s="36" t="s">
        <v>103</v>
      </c>
      <c r="Q4" s="36" t="s">
        <v>104</v>
      </c>
      <c r="R4" s="98"/>
      <c r="S4" s="99"/>
      <c r="T4" s="99"/>
      <c r="U4" s="99"/>
      <c r="V4" s="99"/>
      <c r="W4" s="99"/>
      <c r="X4" s="99"/>
      <c r="Y4" s="100"/>
      <c r="AA4" s="163" t="s">
        <v>159</v>
      </c>
      <c r="AB4" s="161"/>
      <c r="AC4" s="161"/>
      <c r="AD4" s="161"/>
      <c r="AE4" s="162"/>
      <c r="AF4" s="162"/>
      <c r="AG4" s="162"/>
      <c r="AH4" s="162"/>
      <c r="AI4" s="162"/>
      <c r="AJ4" s="162"/>
      <c r="AK4" s="162"/>
    </row>
    <row r="5" spans="10:37" ht="13.5" thickBot="1">
      <c r="J5" s="159" t="s">
        <v>102</v>
      </c>
      <c r="K5" s="104">
        <v>5</v>
      </c>
      <c r="L5" s="104">
        <f>3*2.54</f>
        <v>7.62</v>
      </c>
      <c r="M5" s="104">
        <v>12</v>
      </c>
      <c r="O5" s="97"/>
      <c r="P5" s="105" t="s">
        <v>107</v>
      </c>
      <c r="Q5" s="105" t="s">
        <v>107</v>
      </c>
      <c r="R5" s="131"/>
      <c r="S5" s="106" t="s">
        <v>108</v>
      </c>
      <c r="T5" s="107"/>
      <c r="U5" s="107"/>
      <c r="V5" s="107"/>
      <c r="W5" s="107"/>
      <c r="X5" s="107"/>
      <c r="Y5" s="108"/>
      <c r="AA5" s="158" t="s">
        <v>178</v>
      </c>
      <c r="AB5" s="161"/>
      <c r="AC5" s="161"/>
      <c r="AD5" s="161"/>
      <c r="AE5" s="162"/>
      <c r="AF5" s="162"/>
      <c r="AG5" s="162"/>
      <c r="AH5" s="162"/>
      <c r="AI5" s="162"/>
      <c r="AJ5" s="162"/>
      <c r="AK5" s="162"/>
    </row>
    <row r="6" spans="10:37" ht="12.75">
      <c r="J6" s="159" t="s">
        <v>106</v>
      </c>
      <c r="K6" s="104">
        <v>100</v>
      </c>
      <c r="L6" s="104">
        <v>50</v>
      </c>
      <c r="M6" s="104">
        <v>20</v>
      </c>
      <c r="O6" s="132" t="s">
        <v>91</v>
      </c>
      <c r="P6" s="111">
        <f>$K$9</f>
        <v>30</v>
      </c>
      <c r="Q6" s="112">
        <f aca="true" t="shared" si="1" ref="Q6:Q12">ASIN(SIN($P6*PI()/180)*SIN($K$8*PI()/180)/SIN($K$9*PI()/180))*180/PI()</f>
        <v>45</v>
      </c>
      <c r="R6" s="94"/>
      <c r="S6" s="93">
        <f aca="true" t="shared" si="2" ref="S6:Y12">1.7*10^-5*$K$5^2*$K$6*S$3^2*TAN($P6*PI()/180)*SIN($P6*PI()/180)/TAN($Q6*PI()/180)/2</f>
        <v>1.380227987281449</v>
      </c>
      <c r="T6" s="93">
        <f t="shared" si="2"/>
        <v>3.1055129713832597</v>
      </c>
      <c r="U6" s="93">
        <f t="shared" si="2"/>
        <v>5.520911949125796</v>
      </c>
      <c r="V6" s="93">
        <f t="shared" si="2"/>
        <v>8.626424920509056</v>
      </c>
      <c r="W6" s="93">
        <f t="shared" si="2"/>
        <v>12.422051885533039</v>
      </c>
      <c r="X6" s="93">
        <f t="shared" si="2"/>
        <v>16.907792844197747</v>
      </c>
      <c r="Y6" s="113">
        <f t="shared" si="2"/>
        <v>22.083647796503183</v>
      </c>
      <c r="AA6" s="158" t="s">
        <v>160</v>
      </c>
      <c r="AB6" s="161"/>
      <c r="AC6" s="161"/>
      <c r="AD6" s="161"/>
      <c r="AE6" s="162"/>
      <c r="AF6" s="162"/>
      <c r="AG6" s="162"/>
      <c r="AH6" s="162"/>
      <c r="AI6" s="162"/>
      <c r="AJ6" s="162"/>
      <c r="AK6" s="162"/>
    </row>
    <row r="7" spans="10:37" ht="12.75">
      <c r="J7" s="164" t="s">
        <v>141</v>
      </c>
      <c r="K7" s="109">
        <v>40</v>
      </c>
      <c r="L7" s="109">
        <v>50</v>
      </c>
      <c r="M7" s="109">
        <v>110</v>
      </c>
      <c r="O7" s="97"/>
      <c r="P7" s="36">
        <f aca="true" t="shared" si="3" ref="P7:P12">P6-0.15*$P$6</f>
        <v>25.5</v>
      </c>
      <c r="Q7" s="36">
        <f t="shared" si="1"/>
        <v>37.50528687864152</v>
      </c>
      <c r="R7" s="133"/>
      <c r="S7" s="36">
        <f t="shared" si="2"/>
        <v>1.2792589329747883</v>
      </c>
      <c r="T7" s="36">
        <f t="shared" si="2"/>
        <v>2.8783325991932736</v>
      </c>
      <c r="U7" s="36">
        <f t="shared" si="2"/>
        <v>5.117035731899153</v>
      </c>
      <c r="V7" s="36">
        <f t="shared" si="2"/>
        <v>7.995368331092427</v>
      </c>
      <c r="W7" s="36">
        <f t="shared" si="2"/>
        <v>11.513330396773094</v>
      </c>
      <c r="X7" s="36">
        <f t="shared" si="2"/>
        <v>15.670921928941159</v>
      </c>
      <c r="Y7" s="37">
        <f t="shared" si="2"/>
        <v>20.468142927596613</v>
      </c>
      <c r="AA7" s="158" t="s">
        <v>180</v>
      </c>
      <c r="AB7" s="161"/>
      <c r="AC7" s="161"/>
      <c r="AD7" s="161"/>
      <c r="AE7" s="162"/>
      <c r="AF7" s="162"/>
      <c r="AG7" s="162"/>
      <c r="AH7" s="162"/>
      <c r="AI7" s="162"/>
      <c r="AJ7" s="162"/>
      <c r="AK7" s="162"/>
    </row>
    <row r="8" spans="10:37" ht="12.75">
      <c r="J8" s="159" t="s">
        <v>162</v>
      </c>
      <c r="K8" s="115">
        <v>45</v>
      </c>
      <c r="L8" s="115">
        <v>45</v>
      </c>
      <c r="M8" s="115">
        <v>45</v>
      </c>
      <c r="O8" s="97"/>
      <c r="P8" s="36">
        <f t="shared" si="3"/>
        <v>21</v>
      </c>
      <c r="Q8" s="36">
        <f t="shared" si="1"/>
        <v>30.45149928512708</v>
      </c>
      <c r="R8" s="133"/>
      <c r="S8" s="36">
        <f t="shared" si="2"/>
        <v>1.1187694736894602</v>
      </c>
      <c r="T8" s="36">
        <f t="shared" si="2"/>
        <v>2.5172313158012853</v>
      </c>
      <c r="U8" s="36">
        <f t="shared" si="2"/>
        <v>4.475077894757841</v>
      </c>
      <c r="V8" s="36">
        <f t="shared" si="2"/>
        <v>6.992309210559126</v>
      </c>
      <c r="W8" s="36">
        <f t="shared" si="2"/>
        <v>10.068925263205141</v>
      </c>
      <c r="X8" s="36">
        <f t="shared" si="2"/>
        <v>13.704926052695887</v>
      </c>
      <c r="Y8" s="37">
        <f t="shared" si="2"/>
        <v>17.900311579031364</v>
      </c>
      <c r="AA8" s="158" t="s">
        <v>161</v>
      </c>
      <c r="AB8" s="161"/>
      <c r="AC8" s="161"/>
      <c r="AD8" s="161"/>
      <c r="AE8" s="162"/>
      <c r="AF8" s="162"/>
      <c r="AG8" s="162"/>
      <c r="AH8" s="162"/>
      <c r="AI8" s="162"/>
      <c r="AJ8" s="162"/>
      <c r="AK8" s="162"/>
    </row>
    <row r="9" spans="10:37" ht="12.75">
      <c r="J9" s="159" t="s">
        <v>163</v>
      </c>
      <c r="K9" s="117">
        <v>30</v>
      </c>
      <c r="L9" s="117">
        <v>30</v>
      </c>
      <c r="M9" s="117">
        <v>30</v>
      </c>
      <c r="O9" s="97"/>
      <c r="P9" s="36">
        <f t="shared" si="3"/>
        <v>16.5</v>
      </c>
      <c r="Q9" s="36">
        <f t="shared" si="1"/>
        <v>23.681891104492127</v>
      </c>
      <c r="R9" s="133"/>
      <c r="S9" s="36">
        <f t="shared" si="2"/>
        <v>0.917121756446251</v>
      </c>
      <c r="T9" s="36">
        <f t="shared" si="2"/>
        <v>2.0635239520040645</v>
      </c>
      <c r="U9" s="36">
        <f t="shared" si="2"/>
        <v>3.668487025785004</v>
      </c>
      <c r="V9" s="36">
        <f t="shared" si="2"/>
        <v>5.732010977789068</v>
      </c>
      <c r="W9" s="36">
        <f t="shared" si="2"/>
        <v>8.254095808016258</v>
      </c>
      <c r="X9" s="36">
        <f t="shared" si="2"/>
        <v>11.234741516466572</v>
      </c>
      <c r="Y9" s="37">
        <f t="shared" si="2"/>
        <v>14.673948103140017</v>
      </c>
      <c r="AA9" s="158" t="s">
        <v>158</v>
      </c>
      <c r="AB9" s="161"/>
      <c r="AC9" s="161"/>
      <c r="AD9" s="161"/>
      <c r="AE9" s="162"/>
      <c r="AF9" s="162"/>
      <c r="AG9" s="162"/>
      <c r="AH9" s="162"/>
      <c r="AI9" s="162"/>
      <c r="AJ9" s="162"/>
      <c r="AK9" s="162"/>
    </row>
    <row r="10" spans="15:37" ht="12.75">
      <c r="O10" s="97"/>
      <c r="P10" s="36">
        <f t="shared" si="3"/>
        <v>12</v>
      </c>
      <c r="Q10" s="36">
        <f t="shared" si="1"/>
        <v>17.099472939150143</v>
      </c>
      <c r="R10" s="133"/>
      <c r="S10" s="36">
        <f t="shared" si="2"/>
        <v>0.6868565628024127</v>
      </c>
      <c r="T10" s="36">
        <f t="shared" si="2"/>
        <v>1.5454272663054283</v>
      </c>
      <c r="U10" s="36">
        <f t="shared" si="2"/>
        <v>2.747426251209651</v>
      </c>
      <c r="V10" s="36">
        <f t="shared" si="2"/>
        <v>4.292853517515079</v>
      </c>
      <c r="W10" s="36">
        <f t="shared" si="2"/>
        <v>6.181709065221713</v>
      </c>
      <c r="X10" s="36">
        <f t="shared" si="2"/>
        <v>8.413992894329555</v>
      </c>
      <c r="Y10" s="37">
        <f t="shared" si="2"/>
        <v>10.989705004838603</v>
      </c>
      <c r="Z10" s="4"/>
      <c r="AA10" s="158" t="s">
        <v>164</v>
      </c>
      <c r="AB10" s="161"/>
      <c r="AC10" s="161"/>
      <c r="AD10" s="161"/>
      <c r="AE10" s="162"/>
      <c r="AF10" s="162"/>
      <c r="AG10" s="162"/>
      <c r="AH10" s="162"/>
      <c r="AI10" s="162"/>
      <c r="AJ10" s="162"/>
      <c r="AK10" s="162"/>
    </row>
    <row r="11" spans="10:37" ht="12.75">
      <c r="J11" s="159" t="s">
        <v>129</v>
      </c>
      <c r="K11" s="134">
        <f>MAX(Y6:Y12)</f>
        <v>22.083647796503183</v>
      </c>
      <c r="L11" s="134">
        <f>MAX(Y13:Y19)</f>
        <v>25.64547518230559</v>
      </c>
      <c r="M11" s="134">
        <f>MAX(Y20:Y26)</f>
        <v>25.440362261571668</v>
      </c>
      <c r="O11" s="97"/>
      <c r="P11" s="36">
        <f t="shared" si="3"/>
        <v>7.5</v>
      </c>
      <c r="Q11" s="36">
        <f t="shared" si="1"/>
        <v>10.637340872760664</v>
      </c>
      <c r="R11" s="133"/>
      <c r="S11" s="36">
        <f t="shared" si="2"/>
        <v>0.4374490183168002</v>
      </c>
      <c r="T11" s="36">
        <f t="shared" si="2"/>
        <v>0.9842602912128003</v>
      </c>
      <c r="U11" s="36">
        <f t="shared" si="2"/>
        <v>1.7497960732672009</v>
      </c>
      <c r="V11" s="36">
        <f t="shared" si="2"/>
        <v>2.7340563644800016</v>
      </c>
      <c r="W11" s="36">
        <f t="shared" si="2"/>
        <v>3.9370411648512014</v>
      </c>
      <c r="X11" s="36">
        <f t="shared" si="2"/>
        <v>5.358750474380803</v>
      </c>
      <c r="Y11" s="37">
        <f t="shared" si="2"/>
        <v>6.9991842930688035</v>
      </c>
      <c r="AA11" s="158" t="s">
        <v>181</v>
      </c>
      <c r="AB11" s="161"/>
      <c r="AC11" s="161"/>
      <c r="AD11" s="161"/>
      <c r="AE11" s="162"/>
      <c r="AF11" s="162"/>
      <c r="AG11" s="162"/>
      <c r="AH11" s="162"/>
      <c r="AI11" s="162"/>
      <c r="AJ11" s="162"/>
      <c r="AK11" s="162"/>
    </row>
    <row r="12" spans="15:37" ht="13.5" thickBot="1">
      <c r="O12" s="119"/>
      <c r="P12" s="36">
        <f t="shared" si="3"/>
        <v>3</v>
      </c>
      <c r="Q12" s="50">
        <f t="shared" si="1"/>
        <v>4.244583790555806</v>
      </c>
      <c r="R12" s="135"/>
      <c r="S12" s="50">
        <f t="shared" si="2"/>
        <v>0.1766970856507202</v>
      </c>
      <c r="T12" s="50">
        <f t="shared" si="2"/>
        <v>0.39756844271412034</v>
      </c>
      <c r="U12" s="50">
        <f t="shared" si="2"/>
        <v>0.7067883426028808</v>
      </c>
      <c r="V12" s="50">
        <f t="shared" si="2"/>
        <v>1.104356785317001</v>
      </c>
      <c r="W12" s="50">
        <f t="shared" si="2"/>
        <v>1.5902737708564814</v>
      </c>
      <c r="X12" s="50">
        <f t="shared" si="2"/>
        <v>2.164539299221322</v>
      </c>
      <c r="Y12" s="51">
        <f t="shared" si="2"/>
        <v>2.8271533704115233</v>
      </c>
      <c r="AA12" s="158" t="s">
        <v>182</v>
      </c>
      <c r="AB12" s="161"/>
      <c r="AC12" s="161"/>
      <c r="AD12" s="161"/>
      <c r="AE12" s="162"/>
      <c r="AF12" s="162"/>
      <c r="AG12" s="162"/>
      <c r="AH12" s="162"/>
      <c r="AI12" s="162"/>
      <c r="AJ12" s="162"/>
      <c r="AK12" s="162"/>
    </row>
    <row r="13" spans="15:37" ht="12.75">
      <c r="O13" s="132" t="s">
        <v>92</v>
      </c>
      <c r="P13" s="111">
        <f>$L$9</f>
        <v>30</v>
      </c>
      <c r="Q13" s="112">
        <f aca="true" t="shared" si="4" ref="Q13:Q19">ASIN(SIN($P13*PI()/180)*SIN($L$8*PI()/180)/SIN($L$9*PI()/180))*180/PI()</f>
        <v>45</v>
      </c>
      <c r="R13" s="94"/>
      <c r="S13" s="93">
        <f aca="true" t="shared" si="5" ref="S13:Y19">1.7*10^-5*$L$5^2*$L$6*S$3^2*TAN($P13*PI()/180)*SIN($P13*PI()/180)/TAN($Q13*PI()/180)/2</f>
        <v>1.6028421988940993</v>
      </c>
      <c r="T13" s="93">
        <f t="shared" si="5"/>
        <v>3.6063949475117236</v>
      </c>
      <c r="U13" s="93">
        <f t="shared" si="5"/>
        <v>6.411368795576397</v>
      </c>
      <c r="V13" s="93">
        <f t="shared" si="5"/>
        <v>10.017763743088121</v>
      </c>
      <c r="W13" s="93">
        <f t="shared" si="5"/>
        <v>14.425579790046895</v>
      </c>
      <c r="X13" s="93">
        <f t="shared" si="5"/>
        <v>19.63481693645272</v>
      </c>
      <c r="Y13" s="113">
        <f t="shared" si="5"/>
        <v>25.64547518230559</v>
      </c>
      <c r="AA13" s="158" t="s">
        <v>183</v>
      </c>
      <c r="AB13" s="161"/>
      <c r="AC13" s="161"/>
      <c r="AD13" s="161"/>
      <c r="AE13" s="162"/>
      <c r="AF13" s="162"/>
      <c r="AG13" s="162"/>
      <c r="AH13" s="162"/>
      <c r="AI13" s="162"/>
      <c r="AJ13" s="162"/>
      <c r="AK13" s="162"/>
    </row>
    <row r="14" spans="15:37" ht="12.75">
      <c r="O14" s="97"/>
      <c r="P14" s="36">
        <f aca="true" t="shared" si="6" ref="P14:P19">P13-0.15*$P$13</f>
        <v>25.5</v>
      </c>
      <c r="Q14" s="36">
        <f t="shared" si="4"/>
        <v>37.50528687864152</v>
      </c>
      <c r="R14" s="133"/>
      <c r="S14" s="36">
        <f t="shared" si="5"/>
        <v>1.4855880477564263</v>
      </c>
      <c r="T14" s="36">
        <f t="shared" si="5"/>
        <v>3.3425731074519587</v>
      </c>
      <c r="U14" s="36">
        <f t="shared" si="5"/>
        <v>5.942352191025705</v>
      </c>
      <c r="V14" s="36">
        <f t="shared" si="5"/>
        <v>9.284925298477663</v>
      </c>
      <c r="W14" s="36">
        <f t="shared" si="5"/>
        <v>13.370292429807835</v>
      </c>
      <c r="X14" s="36">
        <f t="shared" si="5"/>
        <v>18.19845358501622</v>
      </c>
      <c r="Y14" s="37">
        <f t="shared" si="5"/>
        <v>23.76940876410282</v>
      </c>
      <c r="AB14" s="161"/>
      <c r="AC14" s="161"/>
      <c r="AD14" s="161"/>
      <c r="AE14" s="162"/>
      <c r="AF14" s="162"/>
      <c r="AG14" s="162"/>
      <c r="AH14" s="162"/>
      <c r="AI14" s="162"/>
      <c r="AJ14" s="162"/>
      <c r="AK14" s="162"/>
    </row>
    <row r="15" spans="15:37" ht="12.75">
      <c r="O15" s="97"/>
      <c r="P15" s="36">
        <f t="shared" si="6"/>
        <v>21</v>
      </c>
      <c r="Q15" s="36">
        <f t="shared" si="4"/>
        <v>30.45149928512708</v>
      </c>
      <c r="R15" s="133"/>
      <c r="S15" s="36">
        <f t="shared" si="5"/>
        <v>1.299213564561886</v>
      </c>
      <c r="T15" s="36">
        <f t="shared" si="5"/>
        <v>2.923230520264244</v>
      </c>
      <c r="U15" s="36">
        <f t="shared" si="5"/>
        <v>5.196854258247544</v>
      </c>
      <c r="V15" s="36">
        <f t="shared" si="5"/>
        <v>8.120084778511787</v>
      </c>
      <c r="W15" s="36">
        <f t="shared" si="5"/>
        <v>11.692922081056976</v>
      </c>
      <c r="X15" s="36">
        <f t="shared" si="5"/>
        <v>15.915366165883102</v>
      </c>
      <c r="Y15" s="37">
        <f t="shared" si="5"/>
        <v>20.787417032990177</v>
      </c>
      <c r="AA15" s="165" t="s">
        <v>146</v>
      </c>
      <c r="AB15" s="161"/>
      <c r="AC15" s="161"/>
      <c r="AD15" s="161"/>
      <c r="AE15" s="162"/>
      <c r="AF15" s="162"/>
      <c r="AG15" s="162"/>
      <c r="AH15" s="162"/>
      <c r="AI15" s="162"/>
      <c r="AJ15" s="162"/>
      <c r="AK15" s="162"/>
    </row>
    <row r="16" spans="15:37" ht="12.75">
      <c r="O16" s="97"/>
      <c r="P16" s="36">
        <f t="shared" si="6"/>
        <v>16.5</v>
      </c>
      <c r="Q16" s="36">
        <f t="shared" si="4"/>
        <v>23.681891104492127</v>
      </c>
      <c r="R16" s="133"/>
      <c r="S16" s="36">
        <f t="shared" si="5"/>
        <v>1.0650424902999538</v>
      </c>
      <c r="T16" s="36">
        <f t="shared" si="5"/>
        <v>2.3963456031748964</v>
      </c>
      <c r="U16" s="36">
        <f t="shared" si="5"/>
        <v>4.260169961199815</v>
      </c>
      <c r="V16" s="36">
        <f t="shared" si="5"/>
        <v>6.656515564374711</v>
      </c>
      <c r="W16" s="36">
        <f t="shared" si="5"/>
        <v>9.585382412699586</v>
      </c>
      <c r="X16" s="36">
        <f t="shared" si="5"/>
        <v>13.046770506174436</v>
      </c>
      <c r="Y16" s="37">
        <f t="shared" si="5"/>
        <v>17.04067984479926</v>
      </c>
      <c r="AA16" s="163" t="s">
        <v>184</v>
      </c>
      <c r="AB16" s="161"/>
      <c r="AC16" s="161"/>
      <c r="AD16" s="161"/>
      <c r="AE16" s="162"/>
      <c r="AF16" s="162"/>
      <c r="AG16" s="162"/>
      <c r="AH16" s="162"/>
      <c r="AI16" s="162"/>
      <c r="AJ16" s="162"/>
      <c r="AK16" s="162"/>
    </row>
    <row r="17" spans="15:37" ht="12.75">
      <c r="O17" s="97"/>
      <c r="P17" s="36">
        <f t="shared" si="6"/>
        <v>12</v>
      </c>
      <c r="Q17" s="36">
        <f t="shared" si="4"/>
        <v>17.099472939150143</v>
      </c>
      <c r="R17" s="133"/>
      <c r="S17" s="36">
        <f t="shared" si="5"/>
        <v>0.7976382841036882</v>
      </c>
      <c r="T17" s="36">
        <f t="shared" si="5"/>
        <v>1.7946861392332984</v>
      </c>
      <c r="U17" s="36">
        <f t="shared" si="5"/>
        <v>3.190553136414753</v>
      </c>
      <c r="V17" s="36">
        <f t="shared" si="5"/>
        <v>4.98523927564805</v>
      </c>
      <c r="W17" s="36">
        <f t="shared" si="5"/>
        <v>7.178744556933194</v>
      </c>
      <c r="X17" s="36">
        <f t="shared" si="5"/>
        <v>9.771068980270181</v>
      </c>
      <c r="Y17" s="37">
        <f t="shared" si="5"/>
        <v>12.762212545659011</v>
      </c>
      <c r="AA17" s="163" t="s">
        <v>185</v>
      </c>
      <c r="AB17" s="161"/>
      <c r="AC17" s="161"/>
      <c r="AD17" s="161"/>
      <c r="AE17" s="162"/>
      <c r="AF17" s="162"/>
      <c r="AG17" s="162"/>
      <c r="AH17" s="162"/>
      <c r="AI17" s="162"/>
      <c r="AJ17" s="162"/>
      <c r="AK17" s="162"/>
    </row>
    <row r="18" spans="15:37" ht="12.75">
      <c r="O18" s="97"/>
      <c r="P18" s="36">
        <f t="shared" si="6"/>
        <v>7.5</v>
      </c>
      <c r="Q18" s="36">
        <f t="shared" si="4"/>
        <v>10.637340872760664</v>
      </c>
      <c r="R18" s="133"/>
      <c r="S18" s="36">
        <f t="shared" si="5"/>
        <v>0.5080042955830802</v>
      </c>
      <c r="T18" s="36">
        <f t="shared" si="5"/>
        <v>1.1430096650619306</v>
      </c>
      <c r="U18" s="36">
        <f t="shared" si="5"/>
        <v>2.032017182332321</v>
      </c>
      <c r="V18" s="36">
        <f t="shared" si="5"/>
        <v>3.1750268473942516</v>
      </c>
      <c r="W18" s="36">
        <f t="shared" si="5"/>
        <v>4.572038660247722</v>
      </c>
      <c r="X18" s="36">
        <f t="shared" si="5"/>
        <v>6.223052620892734</v>
      </c>
      <c r="Y18" s="37">
        <f t="shared" si="5"/>
        <v>8.128068729329284</v>
      </c>
      <c r="AA18" s="163" t="s">
        <v>186</v>
      </c>
      <c r="AB18" s="161"/>
      <c r="AC18" s="161"/>
      <c r="AD18" s="161"/>
      <c r="AE18" s="162"/>
      <c r="AF18" s="162"/>
      <c r="AG18" s="162"/>
      <c r="AH18" s="162"/>
      <c r="AI18" s="162"/>
      <c r="AJ18" s="162"/>
      <c r="AK18" s="162"/>
    </row>
    <row r="19" spans="15:37" ht="13.5" thickBot="1">
      <c r="O19" s="119"/>
      <c r="P19" s="36">
        <f t="shared" si="6"/>
        <v>3</v>
      </c>
      <c r="Q19" s="50">
        <f t="shared" si="4"/>
        <v>4.244583790555806</v>
      </c>
      <c r="R19" s="135"/>
      <c r="S19" s="50">
        <f t="shared" si="5"/>
        <v>0.20519620520115353</v>
      </c>
      <c r="T19" s="50">
        <f t="shared" si="5"/>
        <v>0.4616914617025954</v>
      </c>
      <c r="U19" s="50">
        <f t="shared" si="5"/>
        <v>0.8207848208046141</v>
      </c>
      <c r="V19" s="50">
        <f t="shared" si="5"/>
        <v>1.2824762825072094</v>
      </c>
      <c r="W19" s="50">
        <f t="shared" si="5"/>
        <v>1.8467658468103816</v>
      </c>
      <c r="X19" s="50">
        <f t="shared" si="5"/>
        <v>2.513653513714131</v>
      </c>
      <c r="Y19" s="51">
        <f t="shared" si="5"/>
        <v>3.2831392832184565</v>
      </c>
      <c r="AA19" s="163" t="s">
        <v>187</v>
      </c>
      <c r="AB19" s="161"/>
      <c r="AC19" s="161"/>
      <c r="AD19" s="161"/>
      <c r="AE19" s="162"/>
      <c r="AF19" s="162"/>
      <c r="AG19" s="162"/>
      <c r="AH19" s="162"/>
      <c r="AI19" s="162"/>
      <c r="AJ19" s="162"/>
      <c r="AK19" s="162"/>
    </row>
    <row r="20" spans="15:37" ht="12.75">
      <c r="O20" s="132" t="s">
        <v>93</v>
      </c>
      <c r="P20" s="111">
        <f>$M$9</f>
        <v>30</v>
      </c>
      <c r="Q20" s="112">
        <f aca="true" t="shared" si="7" ref="Q20:Q26">ASIN(SIN($P20*PI()/180)*SIN($M$8*PI()/180)/SIN($M$9*PI()/180))*180/PI()</f>
        <v>45</v>
      </c>
      <c r="R20" s="94"/>
      <c r="S20" s="93">
        <f aca="true" t="shared" si="8" ref="S20:Y26">1.7*10^-5*$M$5^2*$M$6*S$3^2*TAN($P20*PI()/180)*SIN($P20*PI()/180)/TAN($Q20*PI()/180)/2</f>
        <v>1.5900226413482292</v>
      </c>
      <c r="T20" s="93">
        <f t="shared" si="8"/>
        <v>3.577550943033516</v>
      </c>
      <c r="U20" s="93">
        <f t="shared" si="8"/>
        <v>6.360090565392917</v>
      </c>
      <c r="V20" s="93">
        <f t="shared" si="8"/>
        <v>9.937641508426434</v>
      </c>
      <c r="W20" s="93">
        <f t="shared" si="8"/>
        <v>14.310203772134065</v>
      </c>
      <c r="X20" s="93">
        <f t="shared" si="8"/>
        <v>19.47777735651581</v>
      </c>
      <c r="Y20" s="113">
        <f t="shared" si="8"/>
        <v>25.440362261571668</v>
      </c>
      <c r="AA20" s="163" t="s">
        <v>188</v>
      </c>
      <c r="AB20" s="161"/>
      <c r="AC20" s="161"/>
      <c r="AD20" s="161"/>
      <c r="AE20" s="162"/>
      <c r="AF20" s="162"/>
      <c r="AG20" s="162"/>
      <c r="AH20" s="162"/>
      <c r="AI20" s="162"/>
      <c r="AJ20" s="162"/>
      <c r="AK20" s="162"/>
    </row>
    <row r="21" spans="15:37" ht="12.75">
      <c r="O21" s="97"/>
      <c r="P21" s="36">
        <f aca="true" t="shared" si="9" ref="P21:P26">P20-0.15*$P$20</f>
        <v>25.5</v>
      </c>
      <c r="Q21" s="36">
        <f t="shared" si="7"/>
        <v>37.50528687864152</v>
      </c>
      <c r="R21" s="133"/>
      <c r="S21" s="36">
        <f t="shared" si="8"/>
        <v>1.4737062907869563</v>
      </c>
      <c r="T21" s="36">
        <f t="shared" si="8"/>
        <v>3.3158391542706522</v>
      </c>
      <c r="U21" s="36">
        <f t="shared" si="8"/>
        <v>5.894825163147825</v>
      </c>
      <c r="V21" s="36">
        <f t="shared" si="8"/>
        <v>9.210664317418479</v>
      </c>
      <c r="W21" s="36">
        <f t="shared" si="8"/>
        <v>13.263356617082609</v>
      </c>
      <c r="X21" s="36">
        <f t="shared" si="8"/>
        <v>18.052902062140213</v>
      </c>
      <c r="Y21" s="37">
        <f t="shared" si="8"/>
        <v>23.5793006525913</v>
      </c>
      <c r="AB21" s="161"/>
      <c r="AC21" s="161"/>
      <c r="AD21" s="161"/>
      <c r="AE21" s="162"/>
      <c r="AF21" s="162"/>
      <c r="AG21" s="162"/>
      <c r="AH21" s="162"/>
      <c r="AI21" s="162"/>
      <c r="AJ21" s="162"/>
      <c r="AK21" s="162"/>
    </row>
    <row r="22" spans="15:37" ht="12.75">
      <c r="O22" s="97"/>
      <c r="P22" s="36">
        <f t="shared" si="9"/>
        <v>21</v>
      </c>
      <c r="Q22" s="36">
        <f t="shared" si="7"/>
        <v>30.45149928512708</v>
      </c>
      <c r="R22" s="133"/>
      <c r="S22" s="36">
        <f t="shared" si="8"/>
        <v>1.2888224336902585</v>
      </c>
      <c r="T22" s="36">
        <f t="shared" si="8"/>
        <v>2.899850475803081</v>
      </c>
      <c r="U22" s="36">
        <f t="shared" si="8"/>
        <v>5.155289734761034</v>
      </c>
      <c r="V22" s="36">
        <f t="shared" si="8"/>
        <v>8.055140210564115</v>
      </c>
      <c r="W22" s="36">
        <f t="shared" si="8"/>
        <v>11.599401903212325</v>
      </c>
      <c r="X22" s="36">
        <f t="shared" si="8"/>
        <v>15.788074812705664</v>
      </c>
      <c r="Y22" s="37">
        <f t="shared" si="8"/>
        <v>20.621158939044136</v>
      </c>
      <c r="AA22" s="165" t="s">
        <v>189</v>
      </c>
      <c r="AB22" s="161"/>
      <c r="AC22" s="161"/>
      <c r="AD22" s="162"/>
      <c r="AE22" s="162"/>
      <c r="AF22" s="162"/>
      <c r="AG22" s="162"/>
      <c r="AH22" s="162"/>
      <c r="AI22" s="162"/>
      <c r="AJ22" s="162"/>
      <c r="AK22" s="162"/>
    </row>
    <row r="23" spans="15:37" ht="12.75">
      <c r="O23" s="97"/>
      <c r="P23" s="36">
        <f t="shared" si="9"/>
        <v>16.5</v>
      </c>
      <c r="Q23" s="36">
        <f t="shared" si="7"/>
        <v>23.681891104492127</v>
      </c>
      <c r="R23" s="133"/>
      <c r="S23" s="36">
        <f t="shared" si="8"/>
        <v>1.056524263426081</v>
      </c>
      <c r="T23" s="36">
        <f t="shared" si="8"/>
        <v>2.377179592708683</v>
      </c>
      <c r="U23" s="36">
        <f t="shared" si="8"/>
        <v>4.226097053704324</v>
      </c>
      <c r="V23" s="36">
        <f t="shared" si="8"/>
        <v>6.603276646413008</v>
      </c>
      <c r="W23" s="36">
        <f t="shared" si="8"/>
        <v>9.508718370834732</v>
      </c>
      <c r="X23" s="36">
        <f t="shared" si="8"/>
        <v>12.942422226969494</v>
      </c>
      <c r="Y23" s="37">
        <f t="shared" si="8"/>
        <v>16.904388214817295</v>
      </c>
      <c r="AA23" s="163" t="s">
        <v>155</v>
      </c>
      <c r="AB23" s="161"/>
      <c r="AC23" s="161"/>
      <c r="AE23" s="162"/>
      <c r="AF23" s="162"/>
      <c r="AG23" s="162"/>
      <c r="AH23" s="162"/>
      <c r="AI23" s="162"/>
      <c r="AJ23" s="162"/>
      <c r="AK23" s="162"/>
    </row>
    <row r="24" spans="15:37" ht="12.75">
      <c r="O24" s="97"/>
      <c r="P24" s="36">
        <f t="shared" si="9"/>
        <v>12</v>
      </c>
      <c r="Q24" s="36">
        <f t="shared" si="7"/>
        <v>17.099472939150143</v>
      </c>
      <c r="R24" s="133"/>
      <c r="S24" s="36">
        <f t="shared" si="8"/>
        <v>0.7912587603483795</v>
      </c>
      <c r="T24" s="36">
        <f t="shared" si="8"/>
        <v>1.780332210783854</v>
      </c>
      <c r="U24" s="36">
        <f t="shared" si="8"/>
        <v>3.165035041393518</v>
      </c>
      <c r="V24" s="36">
        <f t="shared" si="8"/>
        <v>4.9453672521773715</v>
      </c>
      <c r="W24" s="36">
        <f t="shared" si="8"/>
        <v>7.121328843135416</v>
      </c>
      <c r="X24" s="36">
        <f t="shared" si="8"/>
        <v>9.692919814267647</v>
      </c>
      <c r="Y24" s="37">
        <f t="shared" si="8"/>
        <v>12.660140165574072</v>
      </c>
      <c r="AA24" s="163" t="s">
        <v>166</v>
      </c>
      <c r="AB24" s="161"/>
      <c r="AC24" s="161"/>
      <c r="AD24" s="161"/>
      <c r="AE24" s="162"/>
      <c r="AF24" s="162"/>
      <c r="AG24" s="162"/>
      <c r="AH24" s="162"/>
      <c r="AI24" s="162"/>
      <c r="AJ24" s="162"/>
      <c r="AK24" s="162"/>
    </row>
    <row r="25" spans="15:37" ht="12.75">
      <c r="O25" s="97"/>
      <c r="P25" s="36">
        <f t="shared" si="9"/>
        <v>7.5</v>
      </c>
      <c r="Q25" s="36">
        <f t="shared" si="7"/>
        <v>10.637340872760664</v>
      </c>
      <c r="R25" s="133"/>
      <c r="S25" s="36">
        <f t="shared" si="8"/>
        <v>0.5039412691009538</v>
      </c>
      <c r="T25" s="36">
        <f t="shared" si="8"/>
        <v>1.1338678554771462</v>
      </c>
      <c r="U25" s="36">
        <f t="shared" si="8"/>
        <v>2.0157650764038153</v>
      </c>
      <c r="V25" s="36">
        <f t="shared" si="8"/>
        <v>3.1496329318809617</v>
      </c>
      <c r="W25" s="36">
        <f t="shared" si="8"/>
        <v>4.535471421908585</v>
      </c>
      <c r="X25" s="36">
        <f t="shared" si="8"/>
        <v>6.173280546486685</v>
      </c>
      <c r="Y25" s="37">
        <f t="shared" si="8"/>
        <v>8.063060305615261</v>
      </c>
      <c r="AA25" s="163" t="s">
        <v>148</v>
      </c>
      <c r="AB25" s="161"/>
      <c r="AC25" s="161"/>
      <c r="AD25" s="161"/>
      <c r="AE25" s="162"/>
      <c r="AF25" s="162"/>
      <c r="AG25" s="162"/>
      <c r="AH25" s="162"/>
      <c r="AI25" s="162"/>
      <c r="AJ25" s="162"/>
      <c r="AK25" s="162"/>
    </row>
    <row r="26" spans="15:37" ht="13.5" thickBot="1">
      <c r="O26" s="119"/>
      <c r="P26" s="36">
        <f t="shared" si="9"/>
        <v>3</v>
      </c>
      <c r="Q26" s="50">
        <f t="shared" si="7"/>
        <v>4.244583790555806</v>
      </c>
      <c r="R26" s="135"/>
      <c r="S26" s="50">
        <f t="shared" si="8"/>
        <v>0.20355504266962965</v>
      </c>
      <c r="T26" s="50">
        <f t="shared" si="8"/>
        <v>0.45799884600666674</v>
      </c>
      <c r="U26" s="50">
        <f t="shared" si="8"/>
        <v>0.8142201706785186</v>
      </c>
      <c r="V26" s="50">
        <f t="shared" si="8"/>
        <v>1.2722190166851854</v>
      </c>
      <c r="W26" s="50">
        <f t="shared" si="8"/>
        <v>1.831995384026667</v>
      </c>
      <c r="X26" s="50">
        <f t="shared" si="8"/>
        <v>2.4935492727029627</v>
      </c>
      <c r="Y26" s="51">
        <f t="shared" si="8"/>
        <v>3.2568806827140744</v>
      </c>
      <c r="AA26" s="163" t="s">
        <v>147</v>
      </c>
      <c r="AB26" s="161"/>
      <c r="AC26" s="161"/>
      <c r="AD26" s="161"/>
      <c r="AE26" s="162"/>
      <c r="AF26" s="162"/>
      <c r="AG26" s="162"/>
      <c r="AH26" s="162"/>
      <c r="AI26" s="162"/>
      <c r="AJ26" s="162"/>
      <c r="AK26" s="162"/>
    </row>
    <row r="27" spans="15:37" ht="13.5" thickBot="1">
      <c r="O27" s="125" t="s">
        <v>134</v>
      </c>
      <c r="P27" s="126"/>
      <c r="Q27" s="126"/>
      <c r="R27" s="126"/>
      <c r="S27" s="126"/>
      <c r="T27" s="126"/>
      <c r="U27" s="126"/>
      <c r="V27" s="126"/>
      <c r="W27" s="126"/>
      <c r="X27" s="126"/>
      <c r="Y27" s="127"/>
      <c r="AA27" s="163" t="s">
        <v>149</v>
      </c>
      <c r="AB27" s="161"/>
      <c r="AC27" s="161"/>
      <c r="AD27" s="161"/>
      <c r="AE27" s="162"/>
      <c r="AF27" s="162"/>
      <c r="AG27" s="162"/>
      <c r="AH27" s="162"/>
      <c r="AI27" s="162"/>
      <c r="AJ27" s="162"/>
      <c r="AK27" s="162"/>
    </row>
    <row r="28" spans="27:37" ht="12.75">
      <c r="AA28" s="163" t="s">
        <v>150</v>
      </c>
      <c r="AB28" s="161"/>
      <c r="AC28" s="161"/>
      <c r="AD28" s="161"/>
      <c r="AE28" s="162"/>
      <c r="AF28" s="162"/>
      <c r="AG28" s="162"/>
      <c r="AH28" s="162"/>
      <c r="AI28" s="162"/>
      <c r="AJ28" s="162"/>
      <c r="AK28" s="162"/>
    </row>
    <row r="29" spans="27:37" ht="12.75">
      <c r="AA29" s="163" t="s">
        <v>151</v>
      </c>
      <c r="AB29" s="161"/>
      <c r="AC29" s="161"/>
      <c r="AD29" s="161"/>
      <c r="AE29" s="162"/>
      <c r="AF29" s="162"/>
      <c r="AG29" s="162"/>
      <c r="AH29" s="162"/>
      <c r="AI29" s="162"/>
      <c r="AJ29" s="162"/>
      <c r="AK29" s="162"/>
    </row>
    <row r="30" spans="27:37" ht="12.75">
      <c r="AA30" s="163" t="s">
        <v>152</v>
      </c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</row>
    <row r="31" spans="27:37" ht="12.75">
      <c r="AA31" s="163" t="s">
        <v>153</v>
      </c>
      <c r="AB31" s="162"/>
      <c r="AC31" s="162"/>
      <c r="AD31" s="162"/>
      <c r="AE31" s="162"/>
      <c r="AG31" s="162"/>
      <c r="AH31" s="162"/>
      <c r="AI31" s="162"/>
      <c r="AJ31" s="162"/>
      <c r="AK31" s="162"/>
    </row>
    <row r="32" spans="27:37" ht="12.75">
      <c r="AA32" s="163" t="s">
        <v>154</v>
      </c>
      <c r="AB32" s="162"/>
      <c r="AC32" s="162"/>
      <c r="AD32" s="162"/>
      <c r="AE32" s="162"/>
      <c r="AG32" s="162"/>
      <c r="AH32" s="162"/>
      <c r="AI32" s="162"/>
      <c r="AJ32" s="162"/>
      <c r="AK32" s="162"/>
    </row>
    <row r="33" spans="3:37" ht="14.25">
      <c r="C33" s="158" t="s">
        <v>305</v>
      </c>
      <c r="AA33" s="163" t="s">
        <v>167</v>
      </c>
      <c r="AK33" s="162"/>
    </row>
    <row r="34" spans="3:27" ht="12.75">
      <c r="C34" s="158" t="s">
        <v>306</v>
      </c>
      <c r="AA34" s="162"/>
    </row>
    <row r="35" spans="3:27" ht="12.75">
      <c r="C35" s="158" t="s">
        <v>304</v>
      </c>
      <c r="AA35" s="166" t="s">
        <v>157</v>
      </c>
    </row>
    <row r="36" ht="12.75">
      <c r="AA36" s="166" t="s">
        <v>156</v>
      </c>
    </row>
  </sheetData>
  <sheetProtection sheet="1" objects="1" scenarios="1"/>
  <conditionalFormatting sqref="S6:Y12">
    <cfRule type="cellIs" priority="1" dxfId="0" operator="greaterThan" stopIfTrue="1">
      <formula>$K$7+0.5</formula>
    </cfRule>
  </conditionalFormatting>
  <conditionalFormatting sqref="S13:Y19">
    <cfRule type="cellIs" priority="2" dxfId="0" operator="greaterThan" stopIfTrue="1">
      <formula>$L$7+0.5</formula>
    </cfRule>
  </conditionalFormatting>
  <conditionalFormatting sqref="S20:Y26">
    <cfRule type="cellIs" priority="3" dxfId="0" operator="greaterThan" stopIfTrue="1">
      <formula>$M$7+0.5</formula>
    </cfRule>
  </conditionalFormatting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C1:AZ45"/>
  <sheetViews>
    <sheetView zoomScale="75" zoomScaleNormal="75" workbookViewId="0" topLeftCell="A1">
      <selection activeCell="H2" sqref="H2"/>
    </sheetView>
  </sheetViews>
  <sheetFormatPr defaultColWidth="9.140625" defaultRowHeight="12.75"/>
  <cols>
    <col min="1" max="1" width="2.7109375" style="158" customWidth="1"/>
    <col min="2" max="2" width="2.8515625" style="167" customWidth="1"/>
    <col min="3" max="5" width="10.7109375" style="4" customWidth="1"/>
    <col min="6" max="14" width="10.7109375" style="158" customWidth="1"/>
    <col min="15" max="15" width="3.28125" style="158" customWidth="1"/>
    <col min="16" max="16" width="10.421875" style="158" bestFit="1" customWidth="1"/>
    <col min="17" max="18" width="7.57421875" style="158" customWidth="1"/>
    <col min="19" max="19" width="4.7109375" style="4" customWidth="1"/>
    <col min="20" max="20" width="4.140625" style="168" customWidth="1"/>
    <col min="21" max="26" width="4.140625" style="158" customWidth="1"/>
    <col min="27" max="27" width="1.8515625" style="158" customWidth="1"/>
    <col min="28" max="28" width="10.421875" style="158" customWidth="1"/>
    <col min="29" max="30" width="7.57421875" style="158" customWidth="1"/>
    <col min="31" max="31" width="4.7109375" style="4" customWidth="1"/>
    <col min="32" max="32" width="4.140625" style="168" customWidth="1"/>
    <col min="33" max="38" width="4.140625" style="158" customWidth="1"/>
    <col min="39" max="39" width="3.421875" style="158" customWidth="1"/>
    <col min="40" max="40" width="8.57421875" style="4" customWidth="1"/>
    <col min="41" max="42" width="4.57421875" style="158" bestFit="1" customWidth="1"/>
    <col min="43" max="43" width="5.28125" style="158" bestFit="1" customWidth="1"/>
    <col min="44" max="46" width="3.57421875" style="158" bestFit="1" customWidth="1"/>
    <col min="47" max="47" width="3.421875" style="158" customWidth="1"/>
    <col min="48" max="48" width="6.57421875" style="160" customWidth="1"/>
    <col min="49" max="52" width="6.57421875" style="158" customWidth="1"/>
    <col min="53" max="16384" width="9.140625" style="158" customWidth="1"/>
  </cols>
  <sheetData>
    <row r="1" spans="4:15" ht="13.5" thickBot="1">
      <c r="D1" s="158"/>
      <c r="O1" s="4"/>
    </row>
    <row r="2" spans="3:52" ht="12.75">
      <c r="C2" s="158"/>
      <c r="D2" s="158"/>
      <c r="E2" s="158"/>
      <c r="G2" s="159" t="s">
        <v>86</v>
      </c>
      <c r="H2" s="89">
        <v>80</v>
      </c>
      <c r="I2" s="4"/>
      <c r="J2" s="4"/>
      <c r="L2" s="4"/>
      <c r="P2" s="90" t="s">
        <v>87</v>
      </c>
      <c r="Q2" s="91"/>
      <c r="R2" s="91"/>
      <c r="S2" s="91"/>
      <c r="T2" s="91"/>
      <c r="U2" s="91"/>
      <c r="V2" s="91"/>
      <c r="W2" s="91"/>
      <c r="X2" s="91"/>
      <c r="Y2" s="91"/>
      <c r="Z2" s="92"/>
      <c r="AB2" s="90" t="s">
        <v>88</v>
      </c>
      <c r="AC2" s="91"/>
      <c r="AD2" s="91"/>
      <c r="AE2" s="91"/>
      <c r="AF2" s="91"/>
      <c r="AG2" s="91"/>
      <c r="AH2" s="91"/>
      <c r="AI2" s="91"/>
      <c r="AJ2" s="91"/>
      <c r="AK2" s="91"/>
      <c r="AL2" s="92"/>
      <c r="AN2" s="90" t="s">
        <v>89</v>
      </c>
      <c r="AO2" s="93"/>
      <c r="AP2" s="93"/>
      <c r="AQ2" s="93"/>
      <c r="AR2" s="93"/>
      <c r="AS2" s="94"/>
      <c r="AT2" s="95"/>
      <c r="AV2" s="96" t="s">
        <v>90</v>
      </c>
      <c r="AW2" s="94"/>
      <c r="AX2" s="94"/>
      <c r="AY2" s="94"/>
      <c r="AZ2" s="95"/>
    </row>
    <row r="3" spans="3:52" ht="12.75">
      <c r="C3" s="158"/>
      <c r="D3" s="158"/>
      <c r="E3" s="158"/>
      <c r="G3" s="159"/>
      <c r="H3" s="4" t="s">
        <v>91</v>
      </c>
      <c r="I3" s="4" t="s">
        <v>92</v>
      </c>
      <c r="J3" s="4" t="s">
        <v>93</v>
      </c>
      <c r="L3" s="4"/>
      <c r="M3" s="4"/>
      <c r="P3" s="97"/>
      <c r="Q3" s="36"/>
      <c r="R3" s="36"/>
      <c r="S3" s="98" t="s">
        <v>94</v>
      </c>
      <c r="T3" s="99">
        <f aca="true" t="shared" si="0" ref="T3:Y3">U3-0.1*$AL$3</f>
        <v>32</v>
      </c>
      <c r="U3" s="99">
        <f t="shared" si="0"/>
        <v>40</v>
      </c>
      <c r="V3" s="99">
        <f t="shared" si="0"/>
        <v>48</v>
      </c>
      <c r="W3" s="99">
        <f t="shared" si="0"/>
        <v>56</v>
      </c>
      <c r="X3" s="99">
        <f t="shared" si="0"/>
        <v>64</v>
      </c>
      <c r="Y3" s="99">
        <f t="shared" si="0"/>
        <v>72</v>
      </c>
      <c r="Z3" s="100">
        <f>$H$2</f>
        <v>80</v>
      </c>
      <c r="AB3" s="97"/>
      <c r="AC3" s="36"/>
      <c r="AD3" s="36"/>
      <c r="AE3" s="98" t="s">
        <v>94</v>
      </c>
      <c r="AF3" s="99">
        <f aca="true" t="shared" si="1" ref="AF3:AK3">AG3-0.1*$AL$3</f>
        <v>32</v>
      </c>
      <c r="AG3" s="99">
        <f t="shared" si="1"/>
        <v>40</v>
      </c>
      <c r="AH3" s="99">
        <f t="shared" si="1"/>
        <v>48</v>
      </c>
      <c r="AI3" s="99">
        <f t="shared" si="1"/>
        <v>56</v>
      </c>
      <c r="AJ3" s="99">
        <f t="shared" si="1"/>
        <v>64</v>
      </c>
      <c r="AK3" s="99">
        <f t="shared" si="1"/>
        <v>72</v>
      </c>
      <c r="AL3" s="100">
        <f>$H$2</f>
        <v>80</v>
      </c>
      <c r="AN3" s="101"/>
      <c r="AO3" s="102" t="s">
        <v>95</v>
      </c>
      <c r="AP3" s="102" t="s">
        <v>96</v>
      </c>
      <c r="AQ3" s="102" t="s">
        <v>97</v>
      </c>
      <c r="AR3" s="102" t="s">
        <v>98</v>
      </c>
      <c r="AS3" s="102" t="s">
        <v>99</v>
      </c>
      <c r="AT3" s="103"/>
      <c r="AV3" s="101"/>
      <c r="AW3" s="36" t="s">
        <v>100</v>
      </c>
      <c r="AX3" s="36" t="s">
        <v>100</v>
      </c>
      <c r="AY3" s="36" t="s">
        <v>101</v>
      </c>
      <c r="AZ3" s="37" t="s">
        <v>101</v>
      </c>
    </row>
    <row r="4" spans="3:52" ht="12.75">
      <c r="C4" s="158"/>
      <c r="D4" s="158"/>
      <c r="E4" s="158"/>
      <c r="G4" s="159" t="s">
        <v>102</v>
      </c>
      <c r="H4" s="104">
        <v>7</v>
      </c>
      <c r="I4" s="104">
        <v>13</v>
      </c>
      <c r="J4" s="104">
        <v>18</v>
      </c>
      <c r="L4" s="4"/>
      <c r="M4" s="4"/>
      <c r="P4" s="97"/>
      <c r="Q4" s="36" t="s">
        <v>103</v>
      </c>
      <c r="R4" s="36" t="s">
        <v>104</v>
      </c>
      <c r="S4" s="36"/>
      <c r="T4" s="99"/>
      <c r="U4" s="99"/>
      <c r="V4" s="99"/>
      <c r="W4" s="99"/>
      <c r="X4" s="99"/>
      <c r="Y4" s="99"/>
      <c r="Z4" s="100"/>
      <c r="AB4" s="97"/>
      <c r="AC4" s="36" t="s">
        <v>103</v>
      </c>
      <c r="AD4" s="36" t="s">
        <v>104</v>
      </c>
      <c r="AE4" s="36"/>
      <c r="AF4" s="99"/>
      <c r="AG4" s="99"/>
      <c r="AH4" s="99"/>
      <c r="AI4" s="99"/>
      <c r="AJ4" s="99"/>
      <c r="AK4" s="99"/>
      <c r="AL4" s="100"/>
      <c r="AN4" s="101"/>
      <c r="AO4" s="35">
        <v>14</v>
      </c>
      <c r="AP4" s="35">
        <v>7</v>
      </c>
      <c r="AQ4" s="35">
        <v>10</v>
      </c>
      <c r="AR4" s="35">
        <v>2.5</v>
      </c>
      <c r="AS4" s="35">
        <v>5</v>
      </c>
      <c r="AT4" s="37"/>
      <c r="AV4" s="101"/>
      <c r="AW4" s="36" t="s">
        <v>105</v>
      </c>
      <c r="AX4" s="36" t="s">
        <v>104</v>
      </c>
      <c r="AY4" s="36" t="s">
        <v>105</v>
      </c>
      <c r="AZ4" s="37" t="s">
        <v>104</v>
      </c>
    </row>
    <row r="5" spans="3:52" ht="12.75" customHeight="1" thickBot="1">
      <c r="C5" s="158"/>
      <c r="D5" s="158"/>
      <c r="E5" s="158"/>
      <c r="G5" s="159" t="s">
        <v>106</v>
      </c>
      <c r="H5" s="104">
        <v>75</v>
      </c>
      <c r="I5" s="104">
        <v>30</v>
      </c>
      <c r="J5" s="104">
        <v>35</v>
      </c>
      <c r="L5" s="4"/>
      <c r="M5" s="4"/>
      <c r="P5" s="97"/>
      <c r="Q5" s="105" t="s">
        <v>107</v>
      </c>
      <c r="R5" s="105" t="s">
        <v>107</v>
      </c>
      <c r="S5" s="36"/>
      <c r="T5" s="106" t="s">
        <v>108</v>
      </c>
      <c r="U5" s="107"/>
      <c r="V5" s="107"/>
      <c r="W5" s="107"/>
      <c r="X5" s="107"/>
      <c r="Y5" s="107"/>
      <c r="Z5" s="108"/>
      <c r="AB5" s="97"/>
      <c r="AC5" s="105" t="s">
        <v>107</v>
      </c>
      <c r="AD5" s="105" t="s">
        <v>107</v>
      </c>
      <c r="AE5" s="36"/>
      <c r="AF5" s="106" t="s">
        <v>108</v>
      </c>
      <c r="AG5" s="107"/>
      <c r="AH5" s="107"/>
      <c r="AI5" s="107"/>
      <c r="AJ5" s="107"/>
      <c r="AK5" s="107"/>
      <c r="AL5" s="108"/>
      <c r="AN5" s="101"/>
      <c r="AO5" s="36"/>
      <c r="AP5" s="36"/>
      <c r="AQ5" s="36"/>
      <c r="AR5" s="36"/>
      <c r="AS5" s="36"/>
      <c r="AT5" s="37"/>
      <c r="AV5" s="101"/>
      <c r="AW5" s="36" t="s">
        <v>109</v>
      </c>
      <c r="AX5" s="36" t="s">
        <v>110</v>
      </c>
      <c r="AY5" s="36" t="s">
        <v>109</v>
      </c>
      <c r="AZ5" s="37" t="s">
        <v>110</v>
      </c>
    </row>
    <row r="6" spans="3:52" ht="12.75">
      <c r="C6" s="158"/>
      <c r="D6" s="158"/>
      <c r="E6" s="158"/>
      <c r="G6" s="164" t="s">
        <v>141</v>
      </c>
      <c r="H6" s="109">
        <v>30</v>
      </c>
      <c r="I6" s="109">
        <v>60</v>
      </c>
      <c r="J6" s="109">
        <v>110</v>
      </c>
      <c r="L6" s="4"/>
      <c r="P6" s="110" t="s">
        <v>91</v>
      </c>
      <c r="Q6" s="111">
        <f>$H$9</f>
        <v>25</v>
      </c>
      <c r="R6" s="112">
        <f aca="true" t="shared" si="2" ref="R6:R13">-$H$17+DEGREES(ASIN((SIN(RADIANS(90-$H$16+Q6))-SIN(RADIANS(90-$H$16)))/((SIN(RADIANS(90-$H$16+$H$9))-SIN(RADIANS(90-$H$16)))/(SIN(RADIANS($H$17+$H$7-90))-SIN(RADIANS($H$17-90))))+SIN(RADIANS($H$17-90))))+90</f>
        <v>60.00000000000001</v>
      </c>
      <c r="S6" s="112"/>
      <c r="T6" s="93">
        <f aca="true" t="shared" si="3" ref="T6:Z13">0.0000085*($H$4^2*$H$5*T$3^2*SIN(RADIANS($Q6))*(COS(RADIANS($H$17+$R6-90))/COS(RADIANS(90-$H$16+$Q6)))*(SIN(RADIANS(90-$H$16+$Q6))-SIN(RADIANS(90-$H$16)))/(SIN(RADIANS($H$17+$R6-90))-SIN(RADIANS($H$17-90))))</f>
        <v>4.42024993496792</v>
      </c>
      <c r="U6" s="93">
        <f t="shared" si="3"/>
        <v>6.906640523387375</v>
      </c>
      <c r="V6" s="93">
        <f t="shared" si="3"/>
        <v>9.94556235367782</v>
      </c>
      <c r="W6" s="93">
        <f t="shared" si="3"/>
        <v>13.537015425839256</v>
      </c>
      <c r="X6" s="93">
        <f t="shared" si="3"/>
        <v>17.68099973987168</v>
      </c>
      <c r="Y6" s="93">
        <f t="shared" si="3"/>
        <v>22.377515295775098</v>
      </c>
      <c r="Z6" s="113">
        <f t="shared" si="3"/>
        <v>27.6265620935495</v>
      </c>
      <c r="AB6" s="110" t="s">
        <v>91</v>
      </c>
      <c r="AC6" s="111">
        <f>$H$10</f>
        <v>15</v>
      </c>
      <c r="AD6" s="112">
        <f aca="true" t="shared" si="4" ref="AD6:AD13">$H$17-DEGREES(ASIN((SIN(RADIANS(90-$H$16+-AC6))-SIN(RADIANS(90-$H$16)))/((SIN(RADIANS(90-$H$16+$H$9))-SIN(RADIANS(90-$H$16)))/(SIN(RADIANS($H$17+$H$7-90))-SIN(RADIANS($H$17-90))))+SIN(RADIANS($H$17-90))))-90</f>
        <v>40</v>
      </c>
      <c r="AE6" s="112"/>
      <c r="AF6" s="93">
        <f aca="true" t="shared" si="5" ref="AF6:AL13">0.0000085*($H$4^2*$H$5*AF$3^2*SIN(RADIANS($AC6))*(COS(RADIANS($H$17+-$AD6-90))/COS(RADIANS(90-$H$16+-$AC6)))*(SIN(RADIANS(90-$H$16+-$AC6))-SIN(RADIANS(90-$H$16)))/(SIN(RADIANS($H$17+-$AD6-90))-SIN(RADIANS($H$17-90))))</f>
        <v>2.360853667003861</v>
      </c>
      <c r="AG6" s="93">
        <f t="shared" si="5"/>
        <v>3.688833854693533</v>
      </c>
      <c r="AH6" s="93">
        <f t="shared" si="5"/>
        <v>5.311920750758687</v>
      </c>
      <c r="AI6" s="93">
        <f t="shared" si="5"/>
        <v>7.2301143551993245</v>
      </c>
      <c r="AJ6" s="93">
        <f t="shared" si="5"/>
        <v>9.443414668015444</v>
      </c>
      <c r="AK6" s="93">
        <f t="shared" si="5"/>
        <v>11.951821689207046</v>
      </c>
      <c r="AL6" s="113">
        <f t="shared" si="5"/>
        <v>14.755335418774132</v>
      </c>
      <c r="AN6" s="101"/>
      <c r="AO6" s="102" t="s">
        <v>111</v>
      </c>
      <c r="AP6" s="102" t="s">
        <v>112</v>
      </c>
      <c r="AQ6" s="102" t="s">
        <v>113</v>
      </c>
      <c r="AR6" s="102" t="s">
        <v>114</v>
      </c>
      <c r="AS6" s="102" t="s">
        <v>115</v>
      </c>
      <c r="AT6" s="103" t="s">
        <v>116</v>
      </c>
      <c r="AV6" s="114" t="s">
        <v>117</v>
      </c>
      <c r="AW6" s="17">
        <f aca="true" t="shared" si="6" ref="AW6:AW13">$H$4*SIN(RADIANS($Q6))</f>
        <v>2.9583278321848963</v>
      </c>
      <c r="AX6" s="93">
        <f aca="true" t="shared" si="7" ref="AX6:AX13">100*$R6/$R$6</f>
        <v>100</v>
      </c>
      <c r="AY6" s="17">
        <f aca="true" t="shared" si="8" ref="AY6:AY13">$H$4*SIN(RADIANS($AC6))</f>
        <v>1.8117333157176452</v>
      </c>
      <c r="AZ6" s="113">
        <f aca="true" t="shared" si="9" ref="AZ6:AZ13">100*$AD6/$AD$6</f>
        <v>100</v>
      </c>
    </row>
    <row r="7" spans="3:52" ht="13.5" thickBot="1">
      <c r="C7" s="158"/>
      <c r="D7" s="158"/>
      <c r="E7" s="158"/>
      <c r="G7" s="159" t="s">
        <v>118</v>
      </c>
      <c r="H7" s="115">
        <v>60</v>
      </c>
      <c r="I7" s="115">
        <v>50</v>
      </c>
      <c r="J7" s="115">
        <v>60</v>
      </c>
      <c r="L7" s="4"/>
      <c r="P7" s="97"/>
      <c r="Q7" s="36">
        <f aca="true" t="shared" si="10" ref="Q7:Q13">Q6-0.13*$Q$6</f>
        <v>21.75</v>
      </c>
      <c r="R7" s="36">
        <f t="shared" si="2"/>
        <v>50.73195375837991</v>
      </c>
      <c r="S7" s="36"/>
      <c r="T7" s="36">
        <f t="shared" si="3"/>
        <v>4.414730037573428</v>
      </c>
      <c r="U7" s="36">
        <f t="shared" si="3"/>
        <v>6.898015683708483</v>
      </c>
      <c r="V7" s="36">
        <f t="shared" si="3"/>
        <v>9.933142584540217</v>
      </c>
      <c r="W7" s="36">
        <f t="shared" si="3"/>
        <v>13.52011074006863</v>
      </c>
      <c r="X7" s="36">
        <f t="shared" si="3"/>
        <v>17.658920150293714</v>
      </c>
      <c r="Y7" s="36">
        <f t="shared" si="3"/>
        <v>22.349570815215486</v>
      </c>
      <c r="Z7" s="37">
        <f t="shared" si="3"/>
        <v>27.59206273483393</v>
      </c>
      <c r="AB7" s="97"/>
      <c r="AC7" s="36">
        <f aca="true" t="shared" si="11" ref="AC7:AC13">AC6-0.13*$AC$6</f>
        <v>13.05</v>
      </c>
      <c r="AD7" s="36">
        <f t="shared" si="4"/>
        <v>33.57512110538411</v>
      </c>
      <c r="AE7" s="36"/>
      <c r="AF7" s="36">
        <f t="shared" si="5"/>
        <v>2.3193664462021744</v>
      </c>
      <c r="AG7" s="36">
        <f t="shared" si="5"/>
        <v>3.6240100721908974</v>
      </c>
      <c r="AH7" s="36">
        <f t="shared" si="5"/>
        <v>5.218574503954892</v>
      </c>
      <c r="AI7" s="36">
        <f t="shared" si="5"/>
        <v>7.103059741494159</v>
      </c>
      <c r="AJ7" s="36">
        <f t="shared" si="5"/>
        <v>9.277465784808697</v>
      </c>
      <c r="AK7" s="36">
        <f t="shared" si="5"/>
        <v>11.741792633898509</v>
      </c>
      <c r="AL7" s="37">
        <f t="shared" si="5"/>
        <v>14.49604028876359</v>
      </c>
      <c r="AN7" s="101" t="s">
        <v>119</v>
      </c>
      <c r="AO7" s="35">
        <f>((SIN(RADIANS(90-H16+H9))-SIN(RADIANS(90-H16)))/(SIN(RADIANS(H17+H7-90))-SIN(RADIANS(H17-90))))*$AR$4</f>
        <v>1.112464241640119</v>
      </c>
      <c r="AP7" s="35">
        <f>((SIN(RADIANS(90-I16+I9))-SIN(RADIANS(90-I16)))/(SIN(RADIANS(I17+I7-90))-SIN(RADIANS(I17-90))))*$AR$4</f>
        <v>1.3792221851318385</v>
      </c>
      <c r="AQ7" s="35">
        <f>((SIN(RADIANS(90-J16+J9))-SIN(RADIANS(90-J16)))/(SIN(RADIANS(J17+J7-90))-SIN(RADIANS(J17-90))))*$AR$4</f>
        <v>1.3252971850955844</v>
      </c>
      <c r="AR7" s="35">
        <f>AO7</f>
        <v>1.112464241640119</v>
      </c>
      <c r="AS7" s="35">
        <f>AP7</f>
        <v>1.3792221851318385</v>
      </c>
      <c r="AT7" s="116">
        <f>AQ7</f>
        <v>1.3252971850955844</v>
      </c>
      <c r="AV7" s="101"/>
      <c r="AW7" s="35">
        <f t="shared" si="6"/>
        <v>2.5939020625688536</v>
      </c>
      <c r="AX7" s="36">
        <f t="shared" si="7"/>
        <v>84.5532562639665</v>
      </c>
      <c r="AY7" s="35">
        <f t="shared" si="8"/>
        <v>1.580608868083726</v>
      </c>
      <c r="AZ7" s="37">
        <f t="shared" si="9"/>
        <v>83.93780276346028</v>
      </c>
    </row>
    <row r="8" spans="3:52" ht="12.75">
      <c r="C8" s="158"/>
      <c r="D8" s="158"/>
      <c r="E8" s="158"/>
      <c r="G8" s="159" t="s">
        <v>120</v>
      </c>
      <c r="H8" s="115">
        <f>100-H7</f>
        <v>40</v>
      </c>
      <c r="I8" s="115">
        <v>50</v>
      </c>
      <c r="J8" s="115">
        <v>60</v>
      </c>
      <c r="L8" s="4"/>
      <c r="P8" s="97"/>
      <c r="Q8" s="36">
        <f t="shared" si="10"/>
        <v>18.5</v>
      </c>
      <c r="R8" s="36">
        <f t="shared" si="2"/>
        <v>42.37466862962866</v>
      </c>
      <c r="S8" s="36"/>
      <c r="T8" s="36">
        <f t="shared" si="3"/>
        <v>4.098581167504767</v>
      </c>
      <c r="U8" s="36">
        <f t="shared" si="3"/>
        <v>6.404033074226198</v>
      </c>
      <c r="V8" s="36">
        <f t="shared" si="3"/>
        <v>9.221807626885726</v>
      </c>
      <c r="W8" s="36">
        <f t="shared" si="3"/>
        <v>12.551904825483346</v>
      </c>
      <c r="X8" s="36">
        <f t="shared" si="3"/>
        <v>16.394324670019067</v>
      </c>
      <c r="Y8" s="36">
        <f t="shared" si="3"/>
        <v>20.74906716049288</v>
      </c>
      <c r="Z8" s="37">
        <f t="shared" si="3"/>
        <v>25.61613229690479</v>
      </c>
      <c r="AB8" s="97"/>
      <c r="AC8" s="36">
        <f t="shared" si="11"/>
        <v>11.100000000000001</v>
      </c>
      <c r="AD8" s="36">
        <f t="shared" si="4"/>
        <v>27.767415980290494</v>
      </c>
      <c r="AE8" s="36"/>
      <c r="AF8" s="36">
        <f t="shared" si="5"/>
        <v>2.154074679056681</v>
      </c>
      <c r="AG8" s="36">
        <f t="shared" si="5"/>
        <v>3.3657416860260647</v>
      </c>
      <c r="AH8" s="36">
        <f t="shared" si="5"/>
        <v>4.8466680278775325</v>
      </c>
      <c r="AI8" s="36">
        <f t="shared" si="5"/>
        <v>6.596853704611086</v>
      </c>
      <c r="AJ8" s="36">
        <f t="shared" si="5"/>
        <v>8.616298716226725</v>
      </c>
      <c r="AK8" s="36">
        <f t="shared" si="5"/>
        <v>10.905003062724447</v>
      </c>
      <c r="AL8" s="37">
        <f t="shared" si="5"/>
        <v>13.462966744104259</v>
      </c>
      <c r="AN8" s="114" t="s">
        <v>121</v>
      </c>
      <c r="AO8" s="17"/>
      <c r="AP8" s="17"/>
      <c r="AQ8" s="17"/>
      <c r="AR8" s="17"/>
      <c r="AS8" s="17"/>
      <c r="AT8" s="18"/>
      <c r="AV8" s="101"/>
      <c r="AW8" s="35">
        <f t="shared" si="6"/>
        <v>2.221132594835645</v>
      </c>
      <c r="AX8" s="36">
        <f t="shared" si="7"/>
        <v>70.62444771604775</v>
      </c>
      <c r="AY8" s="35">
        <f t="shared" si="8"/>
        <v>1.347653765681352</v>
      </c>
      <c r="AZ8" s="37">
        <f t="shared" si="9"/>
        <v>69.41853995072623</v>
      </c>
    </row>
    <row r="9" spans="3:52" ht="12.75">
      <c r="C9" s="158"/>
      <c r="D9" s="158"/>
      <c r="E9" s="158"/>
      <c r="G9" s="159" t="s">
        <v>122</v>
      </c>
      <c r="H9" s="117">
        <v>25</v>
      </c>
      <c r="I9" s="117">
        <v>25</v>
      </c>
      <c r="J9" s="117">
        <v>30</v>
      </c>
      <c r="L9" s="4"/>
      <c r="P9" s="97"/>
      <c r="Q9" s="36">
        <f t="shared" si="10"/>
        <v>15.25</v>
      </c>
      <c r="R9" s="36">
        <f t="shared" si="2"/>
        <v>34.54605909820312</v>
      </c>
      <c r="S9" s="36"/>
      <c r="T9" s="36">
        <f t="shared" si="3"/>
        <v>3.5776479244555457</v>
      </c>
      <c r="U9" s="36">
        <f t="shared" si="3"/>
        <v>5.59007488196179</v>
      </c>
      <c r="V9" s="36">
        <f t="shared" si="3"/>
        <v>8.049707830024978</v>
      </c>
      <c r="W9" s="36">
        <f t="shared" si="3"/>
        <v>10.956546768645106</v>
      </c>
      <c r="X9" s="36">
        <f t="shared" si="3"/>
        <v>14.310591697822183</v>
      </c>
      <c r="Y9" s="36">
        <f t="shared" si="3"/>
        <v>18.111842617556203</v>
      </c>
      <c r="Z9" s="37">
        <f t="shared" si="3"/>
        <v>22.36029952784716</v>
      </c>
      <c r="AB9" s="97"/>
      <c r="AC9" s="36">
        <f t="shared" si="11"/>
        <v>9.150000000000002</v>
      </c>
      <c r="AD9" s="36">
        <f t="shared" si="4"/>
        <v>22.37622386144409</v>
      </c>
      <c r="AE9" s="36"/>
      <c r="AF9" s="36">
        <f t="shared" si="5"/>
        <v>1.8977060687505884</v>
      </c>
      <c r="AG9" s="36">
        <f t="shared" si="5"/>
        <v>2.9651657324227947</v>
      </c>
      <c r="AH9" s="36">
        <f t="shared" si="5"/>
        <v>4.269838654688825</v>
      </c>
      <c r="AI9" s="36">
        <f t="shared" si="5"/>
        <v>5.811724835548678</v>
      </c>
      <c r="AJ9" s="36">
        <f t="shared" si="5"/>
        <v>7.590824275002354</v>
      </c>
      <c r="AK9" s="36">
        <f t="shared" si="5"/>
        <v>9.607136973049856</v>
      </c>
      <c r="AL9" s="37">
        <f t="shared" si="5"/>
        <v>11.860662929691179</v>
      </c>
      <c r="AN9" s="101" t="s">
        <v>33</v>
      </c>
      <c r="AO9" s="35">
        <f>$AO$4+$AR$4*SIN(RADIANS(H$13-H$16))-$AQ$4*SIN(RADIANS(H$13))+AO$7*COS(RADIANS(-90+H$17+H$13))</f>
        <v>4.226667162609092</v>
      </c>
      <c r="AP9" s="35">
        <f>$AO$4+$AR$4*SIN(RADIANS(I$13-I$16))-$AQ$4*SIN(RADIANS(I$13))+AP$7*COS(RADIANS(-90+I$17+I$13))</f>
        <v>4.569315304369173</v>
      </c>
      <c r="AQ9" s="35">
        <f>$AO$4+$AR$4*SIN(RADIANS(J$13-J$16))-$AQ$4*SIN(RADIANS(J$13))+AQ$7*COS(RADIANS(-90+J$17+J$13))</f>
        <v>4.818457684353813</v>
      </c>
      <c r="AR9" s="35">
        <f>$AP$4-$AR$4*COS(RADIANS(H$13-H$16))+$AQ$4*COS(RADIANS(H$13))+AR$7*SIN(RADIANS(-90+H$17+H$13))</f>
        <v>5.589127488553416</v>
      </c>
      <c r="AS9" s="35">
        <f>$AP$4-$AR$4*COS(RADIANS(I$13-I$16))+$AQ$4*COS(RADIANS(I$13))+AS$7*SIN(RADIANS(-90+I$17+I$13))</f>
        <v>3.4935777791277447</v>
      </c>
      <c r="AT9" s="116">
        <f>$AP$4-$AR$4*COS(RADIANS(J$13-J$16))+$AQ$4*COS(RADIANS(J$13))+AT$7*SIN(RADIANS(-90+J$17+J$13))</f>
        <v>6.0549264712360165</v>
      </c>
      <c r="AV9" s="101"/>
      <c r="AW9" s="35">
        <f t="shared" si="6"/>
        <v>1.8412185012058235</v>
      </c>
      <c r="AX9" s="36">
        <f t="shared" si="7"/>
        <v>57.576765163671865</v>
      </c>
      <c r="AY9" s="35">
        <f t="shared" si="8"/>
        <v>1.1131378161635495</v>
      </c>
      <c r="AZ9" s="37">
        <f t="shared" si="9"/>
        <v>55.940559653610215</v>
      </c>
    </row>
    <row r="10" spans="3:52" ht="12.75">
      <c r="C10" s="158"/>
      <c r="D10" s="158"/>
      <c r="E10" s="158"/>
      <c r="G10" s="159" t="s">
        <v>123</v>
      </c>
      <c r="H10" s="117">
        <v>15</v>
      </c>
      <c r="I10" s="117">
        <v>25</v>
      </c>
      <c r="J10" s="117">
        <v>30</v>
      </c>
      <c r="L10" s="4"/>
      <c r="P10" s="97"/>
      <c r="Q10" s="36">
        <f t="shared" si="10"/>
        <v>12</v>
      </c>
      <c r="R10" s="36">
        <f t="shared" si="2"/>
        <v>27.033123351318466</v>
      </c>
      <c r="S10" s="36"/>
      <c r="T10" s="36">
        <f t="shared" si="3"/>
        <v>2.918591096166507</v>
      </c>
      <c r="U10" s="36">
        <f t="shared" si="3"/>
        <v>4.560298587760167</v>
      </c>
      <c r="V10" s="36">
        <f t="shared" si="3"/>
        <v>6.566829966374641</v>
      </c>
      <c r="W10" s="36">
        <f t="shared" si="3"/>
        <v>8.938185232009928</v>
      </c>
      <c r="X10" s="36">
        <f t="shared" si="3"/>
        <v>11.674364384666028</v>
      </c>
      <c r="Y10" s="36">
        <f t="shared" si="3"/>
        <v>14.775367424342942</v>
      </c>
      <c r="Z10" s="37">
        <f t="shared" si="3"/>
        <v>18.24119435104067</v>
      </c>
      <c r="AB10" s="97"/>
      <c r="AC10" s="36">
        <f t="shared" si="11"/>
        <v>7.200000000000002</v>
      </c>
      <c r="AD10" s="36">
        <f t="shared" si="4"/>
        <v>17.282807437380285</v>
      </c>
      <c r="AE10" s="36"/>
      <c r="AF10" s="36">
        <f t="shared" si="5"/>
        <v>1.5721020449143144</v>
      </c>
      <c r="AG10" s="36">
        <f t="shared" si="5"/>
        <v>2.456409445178616</v>
      </c>
      <c r="AH10" s="36">
        <f t="shared" si="5"/>
        <v>3.5372296010572075</v>
      </c>
      <c r="AI10" s="36">
        <f t="shared" si="5"/>
        <v>4.814562512550088</v>
      </c>
      <c r="AJ10" s="36">
        <f t="shared" si="5"/>
        <v>6.2884081796572575</v>
      </c>
      <c r="AK10" s="36">
        <f t="shared" si="5"/>
        <v>7.9587666023787165</v>
      </c>
      <c r="AL10" s="37">
        <f t="shared" si="5"/>
        <v>9.825637780714464</v>
      </c>
      <c r="AN10" s="101" t="s">
        <v>124</v>
      </c>
      <c r="AO10" s="35">
        <f>$AO$4+$AR$4*SIN(RADIANS(H$13-H$16))-$AQ$4*SIN(RADIANS(H$13))</f>
        <v>4</v>
      </c>
      <c r="AP10" s="35">
        <f>$AO$4+$AR$4*SIN(RADIANS(I$13-I$16))-$AQ$4*SIN(RADIANS(I$13))</f>
        <v>4.903381799830868</v>
      </c>
      <c r="AQ10" s="35">
        <f>$AO$4+$AR$4*SIN(RADIANS(J$13-J$16))-$AQ$4*SIN(RADIANS(J$13))</f>
        <v>5.118033988749895</v>
      </c>
      <c r="AR10" s="35">
        <f>$AP$4-$AR$4*COS(RADIANS(H$13-H$16))+$AQ$4*COS(RADIANS(H$13))</f>
        <v>4.500000000000001</v>
      </c>
      <c r="AS10" s="35">
        <f>$AP$4-$AR$4*COS(RADIANS(I$13-I$16))+$AQ$4*COS(RADIANS(I$13))</f>
        <v>2.1554247936399924</v>
      </c>
      <c r="AT10" s="116">
        <f>$AP$4-$AR$4*COS(RADIANS(J$13-J$16))+$AQ$4*COS(RADIANS(J$13))</f>
        <v>4.763932022500211</v>
      </c>
      <c r="AV10" s="101"/>
      <c r="AW10" s="35">
        <f t="shared" si="6"/>
        <v>1.4553818357243153</v>
      </c>
      <c r="AX10" s="36">
        <f t="shared" si="7"/>
        <v>45.055205585530764</v>
      </c>
      <c r="AY10" s="35">
        <f t="shared" si="8"/>
        <v>0.87733263495013</v>
      </c>
      <c r="AZ10" s="37">
        <f t="shared" si="9"/>
        <v>43.20701859345071</v>
      </c>
    </row>
    <row r="11" spans="3:52" ht="12.75">
      <c r="C11" s="158"/>
      <c r="D11" s="158"/>
      <c r="E11" s="158"/>
      <c r="G11" s="164" t="s">
        <v>142</v>
      </c>
      <c r="H11" s="118"/>
      <c r="I11" s="118">
        <v>1</v>
      </c>
      <c r="J11" s="118">
        <v>2</v>
      </c>
      <c r="L11" s="4"/>
      <c r="P11" s="97"/>
      <c r="Q11" s="36">
        <f t="shared" si="10"/>
        <v>8.75</v>
      </c>
      <c r="R11" s="36">
        <f t="shared" si="2"/>
        <v>19.694906272910174</v>
      </c>
      <c r="S11" s="36"/>
      <c r="T11" s="36">
        <f t="shared" si="3"/>
        <v>2.169804171316528</v>
      </c>
      <c r="U11" s="36">
        <f t="shared" si="3"/>
        <v>3.3903190176820766</v>
      </c>
      <c r="V11" s="36">
        <f t="shared" si="3"/>
        <v>4.882059385462189</v>
      </c>
      <c r="W11" s="36">
        <f t="shared" si="3"/>
        <v>6.645025274656868</v>
      </c>
      <c r="X11" s="36">
        <f t="shared" si="3"/>
        <v>8.679216685266113</v>
      </c>
      <c r="Y11" s="36">
        <f t="shared" si="3"/>
        <v>10.984633617289928</v>
      </c>
      <c r="Z11" s="37">
        <f t="shared" si="3"/>
        <v>13.561276070728306</v>
      </c>
      <c r="AB11" s="97"/>
      <c r="AC11" s="36">
        <f t="shared" si="11"/>
        <v>5.250000000000002</v>
      </c>
      <c r="AD11" s="36">
        <f t="shared" si="4"/>
        <v>12.409456680960503</v>
      </c>
      <c r="AE11" s="36"/>
      <c r="AF11" s="36">
        <f t="shared" si="5"/>
        <v>1.193286686079027</v>
      </c>
      <c r="AG11" s="36">
        <f t="shared" si="5"/>
        <v>1.8645104469984801</v>
      </c>
      <c r="AH11" s="36">
        <f t="shared" si="5"/>
        <v>2.6848950436778107</v>
      </c>
      <c r="AI11" s="36">
        <f t="shared" si="5"/>
        <v>3.6544404761170206</v>
      </c>
      <c r="AJ11" s="36">
        <f t="shared" si="5"/>
        <v>4.773146744316108</v>
      </c>
      <c r="AK11" s="36">
        <f t="shared" si="5"/>
        <v>6.041013848275075</v>
      </c>
      <c r="AL11" s="37">
        <f t="shared" si="5"/>
        <v>7.4580417879939205</v>
      </c>
      <c r="AN11" s="101" t="s">
        <v>125</v>
      </c>
      <c r="AO11" s="35">
        <f aca="true" t="shared" si="12" ref="AO11:AQ12">$AO$4+$AR$4*SIN(RADIANS(H$13-H$16))</f>
        <v>14</v>
      </c>
      <c r="AP11" s="35">
        <f t="shared" si="12"/>
        <v>14.606339062590832</v>
      </c>
      <c r="AQ11" s="35">
        <f t="shared" si="12"/>
        <v>15.118033988749895</v>
      </c>
      <c r="AR11" s="35">
        <f>$AP$4-$AR$4*COS(RADIANS(H$13-H$16))</f>
        <v>4.5</v>
      </c>
      <c r="AS11" s="35">
        <f>$AP$4-$AR$4*COS(RADIANS(I$13-I$16))</f>
        <v>4.57464374963667</v>
      </c>
      <c r="AT11" s="116">
        <f>$AP$4-$AR$4*COS(RADIANS(J$13-J$16))</f>
        <v>4.76393202250021</v>
      </c>
      <c r="AV11" s="101"/>
      <c r="AW11" s="35">
        <f t="shared" si="6"/>
        <v>1.0648637033294168</v>
      </c>
      <c r="AX11" s="36">
        <f t="shared" si="7"/>
        <v>32.82484378818362</v>
      </c>
      <c r="AY11" s="35">
        <f t="shared" si="8"/>
        <v>0.6405113306438168</v>
      </c>
      <c r="AZ11" s="37">
        <f t="shared" si="9"/>
        <v>31.023641702401257</v>
      </c>
    </row>
    <row r="12" spans="3:52" ht="12.75">
      <c r="C12" s="158"/>
      <c r="D12" s="158"/>
      <c r="E12" s="158"/>
      <c r="G12" s="164" t="s">
        <v>143</v>
      </c>
      <c r="H12" s="118"/>
      <c r="I12" s="118">
        <v>4</v>
      </c>
      <c r="J12" s="118">
        <v>4</v>
      </c>
      <c r="L12" s="4"/>
      <c r="P12" s="97"/>
      <c r="Q12" s="36">
        <f t="shared" si="10"/>
        <v>5.5</v>
      </c>
      <c r="R12" s="36">
        <f t="shared" si="2"/>
        <v>12.42331226909468</v>
      </c>
      <c r="S12" s="36"/>
      <c r="T12" s="36">
        <f t="shared" si="3"/>
        <v>1.3704707044200715</v>
      </c>
      <c r="U12" s="36">
        <f t="shared" si="3"/>
        <v>2.141360475656362</v>
      </c>
      <c r="V12" s="36">
        <f t="shared" si="3"/>
        <v>3.083559084945161</v>
      </c>
      <c r="W12" s="36">
        <f t="shared" si="3"/>
        <v>4.197066532286469</v>
      </c>
      <c r="X12" s="36">
        <f t="shared" si="3"/>
        <v>5.481882817680286</v>
      </c>
      <c r="Y12" s="36">
        <f t="shared" si="3"/>
        <v>6.938007941126611</v>
      </c>
      <c r="Z12" s="37">
        <f t="shared" si="3"/>
        <v>8.565441902625448</v>
      </c>
      <c r="AB12" s="97"/>
      <c r="AC12" s="36">
        <f t="shared" si="11"/>
        <v>3.3000000000000016</v>
      </c>
      <c r="AD12" s="36">
        <f t="shared" si="4"/>
        <v>7.701411583394176</v>
      </c>
      <c r="AE12" s="36"/>
      <c r="AF12" s="36">
        <f t="shared" si="5"/>
        <v>0.7738444183951106</v>
      </c>
      <c r="AG12" s="36">
        <f t="shared" si="5"/>
        <v>1.2091319037423602</v>
      </c>
      <c r="AH12" s="36">
        <f t="shared" si="5"/>
        <v>1.7411499413889986</v>
      </c>
      <c r="AI12" s="36">
        <f t="shared" si="5"/>
        <v>2.3698985313350263</v>
      </c>
      <c r="AJ12" s="36">
        <f t="shared" si="5"/>
        <v>3.0953776735804426</v>
      </c>
      <c r="AK12" s="36">
        <f t="shared" si="5"/>
        <v>3.9175873681252473</v>
      </c>
      <c r="AL12" s="37">
        <f t="shared" si="5"/>
        <v>4.836527614969441</v>
      </c>
      <c r="AN12" s="101" t="s">
        <v>126</v>
      </c>
      <c r="AO12" s="35">
        <f t="shared" si="12"/>
        <v>14</v>
      </c>
      <c r="AP12" s="35">
        <f t="shared" si="12"/>
        <v>14.606339062590832</v>
      </c>
      <c r="AQ12" s="35">
        <f t="shared" si="12"/>
        <v>15.118033988749895</v>
      </c>
      <c r="AR12" s="35">
        <f aca="true" t="shared" si="13" ref="AR12:AT13">$AP$4</f>
        <v>7</v>
      </c>
      <c r="AS12" s="35">
        <f t="shared" si="13"/>
        <v>7</v>
      </c>
      <c r="AT12" s="116">
        <f t="shared" si="13"/>
        <v>7</v>
      </c>
      <c r="AV12" s="101"/>
      <c r="AW12" s="35">
        <f t="shared" si="6"/>
        <v>0.6709202676415679</v>
      </c>
      <c r="AX12" s="36">
        <f t="shared" si="7"/>
        <v>20.705520448491132</v>
      </c>
      <c r="AY12" s="35">
        <f t="shared" si="8"/>
        <v>0.40294818871697113</v>
      </c>
      <c r="AZ12" s="37">
        <f t="shared" si="9"/>
        <v>19.25352895848544</v>
      </c>
    </row>
    <row r="13" spans="3:52" ht="13.5" thickBot="1">
      <c r="C13" s="158"/>
      <c r="D13" s="158"/>
      <c r="E13" s="158"/>
      <c r="G13" s="159" t="s">
        <v>127</v>
      </c>
      <c r="H13" s="118">
        <v>90</v>
      </c>
      <c r="I13" s="118">
        <v>104</v>
      </c>
      <c r="J13" s="118">
        <v>90</v>
      </c>
      <c r="L13" s="4"/>
      <c r="O13" s="4"/>
      <c r="P13" s="119"/>
      <c r="Q13" s="36">
        <f t="shared" si="10"/>
        <v>2.25</v>
      </c>
      <c r="R13" s="36">
        <f t="shared" si="2"/>
        <v>5.122553297996575</v>
      </c>
      <c r="S13" s="36"/>
      <c r="T13" s="36">
        <f t="shared" si="3"/>
        <v>0.5555049266587202</v>
      </c>
      <c r="U13" s="36">
        <f t="shared" si="3"/>
        <v>0.8679764479042499</v>
      </c>
      <c r="V13" s="36">
        <f t="shared" si="3"/>
        <v>1.2498860849821203</v>
      </c>
      <c r="W13" s="36">
        <f t="shared" si="3"/>
        <v>1.7012338378923302</v>
      </c>
      <c r="X13" s="36">
        <f t="shared" si="3"/>
        <v>2.222019706634881</v>
      </c>
      <c r="Y13" s="36">
        <f t="shared" si="3"/>
        <v>2.81224369120977</v>
      </c>
      <c r="Z13" s="37">
        <f t="shared" si="3"/>
        <v>3.4719057916169995</v>
      </c>
      <c r="AB13" s="119"/>
      <c r="AC13" s="36">
        <f t="shared" si="11"/>
        <v>1.3500000000000014</v>
      </c>
      <c r="AD13" s="36">
        <f t="shared" si="4"/>
        <v>3.117711455903816</v>
      </c>
      <c r="AE13" s="36"/>
      <c r="AF13" s="36">
        <f t="shared" si="5"/>
        <v>0.3241992363683948</v>
      </c>
      <c r="AG13" s="36">
        <f t="shared" si="5"/>
        <v>0.506561306825617</v>
      </c>
      <c r="AH13" s="36">
        <f t="shared" si="5"/>
        <v>0.7294482818288884</v>
      </c>
      <c r="AI13" s="36">
        <f t="shared" si="5"/>
        <v>0.9928601613782091</v>
      </c>
      <c r="AJ13" s="36">
        <f t="shared" si="5"/>
        <v>1.2967969454735793</v>
      </c>
      <c r="AK13" s="36">
        <f t="shared" si="5"/>
        <v>1.6412586341149986</v>
      </c>
      <c r="AL13" s="37">
        <f t="shared" si="5"/>
        <v>2.026245227302468</v>
      </c>
      <c r="AN13" s="101" t="s">
        <v>31</v>
      </c>
      <c r="AO13" s="35">
        <f>$AO$4</f>
        <v>14</v>
      </c>
      <c r="AP13" s="35">
        <f>$AO$4</f>
        <v>14</v>
      </c>
      <c r="AQ13" s="35">
        <f>$AO$4</f>
        <v>14</v>
      </c>
      <c r="AR13" s="35">
        <f t="shared" si="13"/>
        <v>7</v>
      </c>
      <c r="AS13" s="35">
        <f t="shared" si="13"/>
        <v>7</v>
      </c>
      <c r="AT13" s="116">
        <f t="shared" si="13"/>
        <v>7</v>
      </c>
      <c r="AV13" s="120"/>
      <c r="AW13" s="28">
        <f t="shared" si="6"/>
        <v>0.27481871031348026</v>
      </c>
      <c r="AX13" s="50">
        <f t="shared" si="7"/>
        <v>8.53758882999429</v>
      </c>
      <c r="AY13" s="28">
        <f t="shared" si="8"/>
        <v>0.16491835383527126</v>
      </c>
      <c r="AZ13" s="51">
        <f t="shared" si="9"/>
        <v>7.79427863975954</v>
      </c>
    </row>
    <row r="14" spans="3:52" ht="13.5" thickBot="1">
      <c r="C14" s="158"/>
      <c r="D14" s="158"/>
      <c r="E14" s="158"/>
      <c r="O14" s="4"/>
      <c r="P14" s="110" t="s">
        <v>92</v>
      </c>
      <c r="Q14" s="111">
        <f>$I$9</f>
        <v>25</v>
      </c>
      <c r="R14" s="112">
        <f aca="true" t="shared" si="14" ref="R14:R21">-$I$17+DEGREES(ASIN((SIN(RADIANS(90-$I$16+Q14))-SIN(RADIANS(90-$I$16)))/((SIN(RADIANS(90-$I$16+$I$9))-SIN(RADIANS(90-$I$16)))/(SIN(RADIANS($I$17+$I$7-90))-SIN(RADIANS($I$17-90))))+SIN(RADIANS($I$17-90))))+90</f>
        <v>50.00000000000002</v>
      </c>
      <c r="S14" s="112"/>
      <c r="T14" s="93">
        <f aca="true" t="shared" si="15" ref="T14:Z21">0.0000085*($I$4^2*$I$5*T$3^2*SIN(RADIANS($Q14))*(COS(RADIANS($I$17+$R14-90))/COS(RADIANS(90-$I$16+$Q14)))*(SIN(RADIANS(90-$I$16+$Q14))-SIN(RADIANS(90-$I$16)))/(SIN(RADIANS($I$17+$R14-90))-SIN(RADIANS($I$17-90))))</f>
        <v>7.296819788027262</v>
      </c>
      <c r="U14" s="93">
        <f t="shared" si="15"/>
        <v>11.401280918792596</v>
      </c>
      <c r="V14" s="93">
        <f t="shared" si="15"/>
        <v>16.417844523061337</v>
      </c>
      <c r="W14" s="93">
        <f t="shared" si="15"/>
        <v>22.346510600833486</v>
      </c>
      <c r="X14" s="93">
        <f t="shared" si="15"/>
        <v>29.18727915210905</v>
      </c>
      <c r="Y14" s="93">
        <f t="shared" si="15"/>
        <v>36.94015017688801</v>
      </c>
      <c r="Z14" s="113">
        <f t="shared" si="15"/>
        <v>45.60512367517038</v>
      </c>
      <c r="AB14" s="110" t="s">
        <v>92</v>
      </c>
      <c r="AC14" s="111">
        <f>$I$10</f>
        <v>25</v>
      </c>
      <c r="AD14" s="112">
        <f aca="true" t="shared" si="16" ref="AD14:AD21">$I$17-DEGREES(ASIN((SIN(RADIANS(90-$I$16+-AC14))-SIN(RADIANS(90-$I$16)))/((SIN(RADIANS(90-$I$16+$I$9))-SIN(RADIANS(90-$I$16)))/(SIN(RADIANS($I$17+$I$7-90))-SIN(RADIANS($I$17-90))))+SIN(RADIANS($I$17-90))))-90</f>
        <v>50</v>
      </c>
      <c r="AE14" s="112"/>
      <c r="AF14" s="93">
        <f aca="true" t="shared" si="17" ref="AF14:AL21">0.0000085*($I$4^2*$I$5*AF$3^2*SIN(RADIANS($AC14))*(COS(RADIANS($I$17+-$AD14-90))/COS(RADIANS(90-$I$16+-$AC14)))*(SIN(RADIANS(90-$I$16+-$AC14))-SIN(RADIANS(90-$I$16)))/(SIN(RADIANS($I$17+-$AD14-90))-SIN(RADIANS($I$17-90))))</f>
        <v>7.297745603186542</v>
      </c>
      <c r="AG14" s="93">
        <f t="shared" si="17"/>
        <v>11.402727504978971</v>
      </c>
      <c r="AH14" s="93">
        <f t="shared" si="17"/>
        <v>16.41992760716972</v>
      </c>
      <c r="AI14" s="93">
        <f t="shared" si="17"/>
        <v>22.34934590975878</v>
      </c>
      <c r="AJ14" s="93">
        <f t="shared" si="17"/>
        <v>29.19098241274617</v>
      </c>
      <c r="AK14" s="93">
        <f t="shared" si="17"/>
        <v>36.944837116131865</v>
      </c>
      <c r="AL14" s="113">
        <f t="shared" si="17"/>
        <v>45.610910019915885</v>
      </c>
      <c r="AN14" s="120" t="s">
        <v>35</v>
      </c>
      <c r="AO14" s="28">
        <f>AO$13+$AS$4</f>
        <v>19</v>
      </c>
      <c r="AP14" s="28">
        <f>AP$13+$AS$4</f>
        <v>19</v>
      </c>
      <c r="AQ14" s="28">
        <f>AQ$13+$AS$4</f>
        <v>19</v>
      </c>
      <c r="AR14" s="28">
        <f>AR$13</f>
        <v>7</v>
      </c>
      <c r="AS14" s="28">
        <f>AS$13</f>
        <v>7</v>
      </c>
      <c r="AT14" s="29">
        <f>AT$13</f>
        <v>7</v>
      </c>
      <c r="AV14" s="114" t="s">
        <v>128</v>
      </c>
      <c r="AW14" s="17">
        <f aca="true" t="shared" si="18" ref="AW14:AW21">$I$4*SIN(RADIANS($Q14))</f>
        <v>5.494037402629092</v>
      </c>
      <c r="AX14" s="93">
        <f aca="true" t="shared" si="19" ref="AX14:AX21">100*$R14/$R$14</f>
        <v>100</v>
      </c>
      <c r="AY14" s="17">
        <f aca="true" t="shared" si="20" ref="AY14:AY21">$I$4*SIN(RADIANS($AC14))</f>
        <v>5.494037402629092</v>
      </c>
      <c r="AZ14" s="113">
        <f aca="true" t="shared" si="21" ref="AZ14:AZ21">100*$AD14/$AD$14</f>
        <v>100</v>
      </c>
    </row>
    <row r="15" spans="3:52" ht="12.75">
      <c r="C15" s="158"/>
      <c r="D15" s="158"/>
      <c r="E15" s="158"/>
      <c r="G15" s="159" t="s">
        <v>129</v>
      </c>
      <c r="H15" s="121">
        <f>MAX(Z6:Z13,AL6:AL13)</f>
        <v>27.6265620935495</v>
      </c>
      <c r="I15" s="121">
        <f>MAX(Z14:Z21,AL14:AL21)</f>
        <v>45.610910019915885</v>
      </c>
      <c r="J15" s="121">
        <f>MAX(Z22:Z29,AL22:AL29)</f>
        <v>114.85781143771695</v>
      </c>
      <c r="O15" s="4"/>
      <c r="P15" s="97"/>
      <c r="Q15" s="36">
        <f aca="true" t="shared" si="22" ref="Q15:Q21">Q14-0.13*$Q$14</f>
        <v>21.75</v>
      </c>
      <c r="R15" s="36">
        <f t="shared" si="14"/>
        <v>42.196434873415775</v>
      </c>
      <c r="S15" s="36"/>
      <c r="T15" s="36">
        <f t="shared" si="15"/>
        <v>7.1956387355032625</v>
      </c>
      <c r="U15" s="36">
        <f t="shared" si="15"/>
        <v>11.243185524223847</v>
      </c>
      <c r="V15" s="36">
        <f t="shared" si="15"/>
        <v>16.19018715488234</v>
      </c>
      <c r="W15" s="36">
        <f t="shared" si="15"/>
        <v>22.03664362747874</v>
      </c>
      <c r="X15" s="36">
        <f t="shared" si="15"/>
        <v>28.78255494201305</v>
      </c>
      <c r="Y15" s="36">
        <f t="shared" si="15"/>
        <v>36.42792109848527</v>
      </c>
      <c r="Z15" s="37">
        <f t="shared" si="15"/>
        <v>44.97274209689539</v>
      </c>
      <c r="AB15" s="97"/>
      <c r="AC15" s="36">
        <f aca="true" t="shared" si="23" ref="AC15:AC21">AC14-0.13*$AC$14</f>
        <v>21.75</v>
      </c>
      <c r="AD15" s="36">
        <f t="shared" si="16"/>
        <v>42.19700540368248</v>
      </c>
      <c r="AE15" s="36"/>
      <c r="AF15" s="36">
        <f t="shared" si="17"/>
        <v>7.195865821417659</v>
      </c>
      <c r="AG15" s="36">
        <f t="shared" si="17"/>
        <v>11.24354034596509</v>
      </c>
      <c r="AH15" s="36">
        <f t="shared" si="17"/>
        <v>16.19069809818973</v>
      </c>
      <c r="AI15" s="36">
        <f t="shared" si="17"/>
        <v>22.037339078091577</v>
      </c>
      <c r="AJ15" s="36">
        <f t="shared" si="17"/>
        <v>28.783463285670635</v>
      </c>
      <c r="AK15" s="36">
        <f t="shared" si="17"/>
        <v>36.42907072092689</v>
      </c>
      <c r="AL15" s="37">
        <f t="shared" si="17"/>
        <v>44.97416138386036</v>
      </c>
      <c r="AN15" s="114" t="s">
        <v>100</v>
      </c>
      <c r="AO15" s="93"/>
      <c r="AP15" s="93"/>
      <c r="AQ15" s="93"/>
      <c r="AR15" s="93"/>
      <c r="AS15" s="93"/>
      <c r="AT15" s="113"/>
      <c r="AV15" s="101"/>
      <c r="AW15" s="35">
        <f t="shared" si="18"/>
        <v>4.817246687627871</v>
      </c>
      <c r="AX15" s="36">
        <f t="shared" si="19"/>
        <v>84.39286974683151</v>
      </c>
      <c r="AY15" s="35">
        <f t="shared" si="20"/>
        <v>4.817246687627871</v>
      </c>
      <c r="AZ15" s="37">
        <f t="shared" si="21"/>
        <v>84.39401080736496</v>
      </c>
    </row>
    <row r="16" spans="3:52" ht="12.75">
      <c r="C16" s="158"/>
      <c r="D16" s="158"/>
      <c r="E16" s="158"/>
      <c r="G16" s="159" t="s">
        <v>130</v>
      </c>
      <c r="H16" s="122">
        <f>H13-IF(H12=0,0,DEGREES(ATAN(H11/H12)))</f>
        <v>90</v>
      </c>
      <c r="I16" s="122">
        <f>I13-IF(I12=0,0,DEGREES(ATAN(I11/I12)))</f>
        <v>89.96375653207352</v>
      </c>
      <c r="J16" s="122">
        <f>J13-IF(J12=0,0,DEGREES(ATAN(J11/J12)))</f>
        <v>63.43494882292201</v>
      </c>
      <c r="N16" s="170" t="s">
        <v>144</v>
      </c>
      <c r="O16" s="4"/>
      <c r="P16" s="97"/>
      <c r="Q16" s="36">
        <f t="shared" si="22"/>
        <v>18.5</v>
      </c>
      <c r="R16" s="36">
        <f t="shared" si="14"/>
        <v>35.10991537605687</v>
      </c>
      <c r="S16" s="36"/>
      <c r="T16" s="36">
        <f t="shared" si="15"/>
        <v>6.663786010600621</v>
      </c>
      <c r="U16" s="36">
        <f t="shared" si="15"/>
        <v>10.412165641563469</v>
      </c>
      <c r="V16" s="36">
        <f t="shared" si="15"/>
        <v>14.993518523851394</v>
      </c>
      <c r="W16" s="36">
        <f t="shared" si="15"/>
        <v>20.407844657464402</v>
      </c>
      <c r="X16" s="36">
        <f t="shared" si="15"/>
        <v>26.655144042402483</v>
      </c>
      <c r="Y16" s="36">
        <f t="shared" si="15"/>
        <v>33.735416678665636</v>
      </c>
      <c r="Z16" s="37">
        <f t="shared" si="15"/>
        <v>41.648662566253876</v>
      </c>
      <c r="AB16" s="97"/>
      <c r="AC16" s="36">
        <f t="shared" si="23"/>
        <v>18.5</v>
      </c>
      <c r="AD16" s="36">
        <f t="shared" si="16"/>
        <v>35.110550195234396</v>
      </c>
      <c r="AE16" s="36"/>
      <c r="AF16" s="36">
        <f t="shared" si="17"/>
        <v>6.663731287802527</v>
      </c>
      <c r="AG16" s="36">
        <f t="shared" si="17"/>
        <v>10.412080137191447</v>
      </c>
      <c r="AH16" s="36">
        <f t="shared" si="17"/>
        <v>14.993395397555686</v>
      </c>
      <c r="AI16" s="36">
        <f t="shared" si="17"/>
        <v>20.40767706889524</v>
      </c>
      <c r="AJ16" s="36">
        <f t="shared" si="17"/>
        <v>26.654925151210108</v>
      </c>
      <c r="AK16" s="36">
        <f t="shared" si="17"/>
        <v>33.73513964450029</v>
      </c>
      <c r="AL16" s="37">
        <f t="shared" si="17"/>
        <v>41.64832054876579</v>
      </c>
      <c r="AN16" s="101" t="s">
        <v>33</v>
      </c>
      <c r="AO16" s="35">
        <f>$AO$4+$AR$4*SIN(RADIANS(H$13-H$16))-$AQ$4*SIN(RADIANS(H$13))+AO$7*COS(RADIANS(-90+H$17+H$13))</f>
        <v>4.226667162609092</v>
      </c>
      <c r="AP16" s="35">
        <f>$AO$4+$AR$4*SIN(RADIANS(I$13-I$16))-$AQ$4*SIN(RADIANS(I$13))+AP$7*COS(RADIANS(-90+I$17+I$13))</f>
        <v>4.569315304369173</v>
      </c>
      <c r="AQ16" s="35">
        <f>$AO$4+$AR$4*SIN(RADIANS(J$13-J$16))-$AQ$4*SIN(RADIANS(J$13))+AQ$7*COS(RADIANS(-90+J$17+J$13))</f>
        <v>4.818457684353813</v>
      </c>
      <c r="AR16" s="35">
        <f>$AP$4-$AR$4*COS(RADIANS(H$13-H$16))+$AQ$4*COS(RADIANS(H$13))+AR$7*SIN(RADIANS(-90+H$17+H$13))</f>
        <v>5.589127488553416</v>
      </c>
      <c r="AS16" s="35">
        <f>$AP$4-$AR$4*COS(RADIANS(I$13-I$16))+$AQ$4*COS(RADIANS(I$13))+AS$7*SIN(RADIANS(-90+I$17+I$13))</f>
        <v>3.4935777791277447</v>
      </c>
      <c r="AT16" s="116">
        <f>$AP$4-$AR$4*COS(RADIANS(J$13-J$16))+$AQ$4*COS(RADIANS(J$13))+AT$7*SIN(RADIANS(-90+J$17+J$13))</f>
        <v>6.0549264712360165</v>
      </c>
      <c r="AV16" s="101"/>
      <c r="AW16" s="35">
        <f t="shared" si="18"/>
        <v>4.124960533266198</v>
      </c>
      <c r="AX16" s="36">
        <f t="shared" si="19"/>
        <v>70.21983075211371</v>
      </c>
      <c r="AY16" s="35">
        <f t="shared" si="20"/>
        <v>4.124960533266198</v>
      </c>
      <c r="AZ16" s="37">
        <f t="shared" si="21"/>
        <v>70.22110039046879</v>
      </c>
    </row>
    <row r="17" spans="3:52" ht="12.75">
      <c r="C17" s="158"/>
      <c r="D17" s="158"/>
      <c r="E17" s="158"/>
      <c r="G17" s="159" t="s">
        <v>131</v>
      </c>
      <c r="H17" s="123">
        <f>DEGREES(ATAN((((SIN(RADIANS(90-H16-H10))-SIN(RADIANS(90-H16)))*SIN(RADIANS(H7)))-((SIN(RADIANS(90-H16+H9))-SIN(RADIANS(90-H16)))*SIN(RADIANS(-H8))))/((SIN(RADIANS(90-H16+H9))-SIN(RADIANS(90-H16)))*(COS(RADIANS(-H8))-1)-(SIN(RADIANS(90-H16-H10))-SIN(RADIANS(90-H16)))*(COS(RADIANS(H7))-1))))+90</f>
        <v>78.24352960086134</v>
      </c>
      <c r="I17" s="123">
        <f>DEGREES(ATAN((((SIN(RADIANS(90-I16-I10))-SIN(RADIANS(90-I16)))*SIN(RADIANS(I7)))-((SIN(RADIANS(90-I16+I9))-SIN(RADIANS(90-I16)))*SIN(RADIANS(-I8))))/((SIN(RADIANS(90-I16+I9))-SIN(RADIANS(90-I16)))*(COS(RADIANS(-I8))-1)-(SIN(RADIANS(90-I16-I10))-SIN(RADIANS(90-I16)))*(COS(RADIANS(I7))-1))))+90</f>
        <v>90.0172310792755</v>
      </c>
      <c r="J17" s="123">
        <f>DEGREES(ATAN((((SIN(RADIANS(90-J16-J10))-SIN(RADIANS(90-J16)))*SIN(RADIANS(J7)))-((SIN(RADIANS(90-J16+J9))-SIN(RADIANS(90-J16)))*SIN(RADIANS(-J8))))/((SIN(RADIANS(90-J16+J9))-SIN(RADIANS(90-J16)))*(COS(RADIANS(-J8))-1)-(SIN(RADIANS(90-J16-J10))-SIN(RADIANS(90-J16)))*(COS(RADIANS(J7))-1))))+90</f>
        <v>103.06431342950829</v>
      </c>
      <c r="O17" s="4"/>
      <c r="P17" s="97"/>
      <c r="Q17" s="36">
        <f t="shared" si="22"/>
        <v>15.25</v>
      </c>
      <c r="R17" s="36">
        <f t="shared" si="14"/>
        <v>28.474688654582813</v>
      </c>
      <c r="S17" s="36"/>
      <c r="T17" s="36">
        <f t="shared" si="15"/>
        <v>5.834498246526505</v>
      </c>
      <c r="U17" s="36">
        <f t="shared" si="15"/>
        <v>9.116403510197665</v>
      </c>
      <c r="V17" s="36">
        <f t="shared" si="15"/>
        <v>13.127621054684639</v>
      </c>
      <c r="W17" s="36">
        <f t="shared" si="15"/>
        <v>17.86815087998742</v>
      </c>
      <c r="X17" s="36">
        <f t="shared" si="15"/>
        <v>23.33799298610602</v>
      </c>
      <c r="Y17" s="36">
        <f t="shared" si="15"/>
        <v>29.537147373040433</v>
      </c>
      <c r="Z17" s="37">
        <f t="shared" si="15"/>
        <v>36.46561404079066</v>
      </c>
      <c r="AB17" s="97"/>
      <c r="AC17" s="36">
        <f t="shared" si="23"/>
        <v>15.25</v>
      </c>
      <c r="AD17" s="36">
        <f t="shared" si="16"/>
        <v>28.47520921996056</v>
      </c>
      <c r="AE17" s="36"/>
      <c r="AF17" s="36">
        <f t="shared" si="17"/>
        <v>5.834360507395603</v>
      </c>
      <c r="AG17" s="36">
        <f t="shared" si="17"/>
        <v>9.116188292805628</v>
      </c>
      <c r="AH17" s="36">
        <f t="shared" si="17"/>
        <v>13.127311141640106</v>
      </c>
      <c r="AI17" s="36">
        <f t="shared" si="17"/>
        <v>17.86772905389903</v>
      </c>
      <c r="AJ17" s="36">
        <f t="shared" si="17"/>
        <v>23.337442029582412</v>
      </c>
      <c r="AK17" s="36">
        <f t="shared" si="17"/>
        <v>29.53645006869024</v>
      </c>
      <c r="AL17" s="37">
        <f t="shared" si="17"/>
        <v>36.46475317122251</v>
      </c>
      <c r="AN17" s="101" t="s">
        <v>124</v>
      </c>
      <c r="AO17" s="35">
        <f>AO16-AO$7*SIN(RADIANS(180-H$17-H$13-H$7))</f>
        <v>5.056545654351749</v>
      </c>
      <c r="AP17" s="35">
        <f>AP16-AP$7*SIN(RADIANS(180-I$17-I$13-I$7))</f>
        <v>5.809133767039318</v>
      </c>
      <c r="AQ17" s="35">
        <f>AQ16-AQ$7*SIN(RADIANS(180-J$17-J$13-J$7))</f>
        <v>6.086279825301748</v>
      </c>
      <c r="AR17" s="35">
        <f>AR16-AR$7*COS(RADIANS(180-H$17-H$13-H$7))</f>
        <v>4.848264223253497</v>
      </c>
      <c r="AS17" s="35">
        <f>AS16-AS$7*COS(RADIANS(180-I$17-I$13-I$7))</f>
        <v>2.889339402671829</v>
      </c>
      <c r="AT17" s="116">
        <f>AT16-AT$7*COS(RADIANS(180-J$17-J$13-J$7))</f>
        <v>5.6688699368469795</v>
      </c>
      <c r="AV17" s="101"/>
      <c r="AW17" s="35">
        <f t="shared" si="18"/>
        <v>3.4194057879536723</v>
      </c>
      <c r="AX17" s="36">
        <f t="shared" si="19"/>
        <v>56.949377309165605</v>
      </c>
      <c r="AY17" s="35">
        <f t="shared" si="20"/>
        <v>3.4194057879536723</v>
      </c>
      <c r="AZ17" s="37">
        <f t="shared" si="21"/>
        <v>56.95041843992112</v>
      </c>
    </row>
    <row r="18" spans="3:52" ht="12.75">
      <c r="C18" s="158"/>
      <c r="D18" s="158"/>
      <c r="E18" s="158"/>
      <c r="G18" s="159" t="s">
        <v>132</v>
      </c>
      <c r="H18" s="124" t="str">
        <f>IF(H12=0,"?",((SIN(RADIANS(90-H16+H9))-SIN(RADIANS(90-H16)))/(SIN(RADIANS(H17+H7-90))-SIN(RADIANS(H17-90))))*SQRT(H11^2+H12^2))</f>
        <v>?</v>
      </c>
      <c r="I18" s="124">
        <f>IF(I12=0,"?",((SIN(RADIANS(90-I16+I9))-SIN(RADIANS(90-I16)))/(SIN(RADIANS(I17+I7-90))-SIN(RADIANS(I17-90))))*SQRT(I11^2+I12^2))</f>
        <v>2.274671500197506</v>
      </c>
      <c r="J18" s="124">
        <f>IF(J12=0,"?",((SIN(RADIANS(90-J16+J9))-SIN(RADIANS(90-J16)))/(SIN(RADIANS(J17+J7-90))-SIN(RADIANS(J17-90))))*SQRT(J11^2+J12^2))</f>
        <v>2.3707636770102782</v>
      </c>
      <c r="O18" s="4"/>
      <c r="P18" s="97"/>
      <c r="Q18" s="36">
        <f t="shared" si="22"/>
        <v>12</v>
      </c>
      <c r="R18" s="36">
        <f t="shared" si="14"/>
        <v>22.139386131113383</v>
      </c>
      <c r="S18" s="36"/>
      <c r="T18" s="36">
        <f t="shared" si="15"/>
        <v>4.793341871973669</v>
      </c>
      <c r="U18" s="36">
        <f t="shared" si="15"/>
        <v>7.489596674958858</v>
      </c>
      <c r="V18" s="36">
        <f t="shared" si="15"/>
        <v>10.785019211940757</v>
      </c>
      <c r="W18" s="36">
        <f t="shared" si="15"/>
        <v>14.679609482919366</v>
      </c>
      <c r="X18" s="36">
        <f t="shared" si="15"/>
        <v>19.173367487894676</v>
      </c>
      <c r="Y18" s="36">
        <f t="shared" si="15"/>
        <v>24.266293226866704</v>
      </c>
      <c r="Z18" s="37">
        <f t="shared" si="15"/>
        <v>29.958386699835433</v>
      </c>
      <c r="AB18" s="97"/>
      <c r="AC18" s="36">
        <f t="shared" si="23"/>
        <v>12</v>
      </c>
      <c r="AD18" s="36">
        <f t="shared" si="16"/>
        <v>22.139742685502014</v>
      </c>
      <c r="AE18" s="36"/>
      <c r="AF18" s="36">
        <f t="shared" si="17"/>
        <v>4.7932137670807</v>
      </c>
      <c r="AG18" s="36">
        <f t="shared" si="17"/>
        <v>7.4893965110635925</v>
      </c>
      <c r="AH18" s="36">
        <f t="shared" si="17"/>
        <v>10.784730975931575</v>
      </c>
      <c r="AI18" s="36">
        <f t="shared" si="17"/>
        <v>14.679217161684644</v>
      </c>
      <c r="AJ18" s="36">
        <f t="shared" si="17"/>
        <v>19.1728550683228</v>
      </c>
      <c r="AK18" s="36">
        <f t="shared" si="17"/>
        <v>24.265644695846042</v>
      </c>
      <c r="AL18" s="37">
        <f t="shared" si="17"/>
        <v>29.95758604425437</v>
      </c>
      <c r="AN18" s="101" t="s">
        <v>125</v>
      </c>
      <c r="AO18" s="35">
        <f>$AO$4+$AR$4*SIN(RADIANS(H$13-H$16+H$9))</f>
        <v>15.056545654351748</v>
      </c>
      <c r="AP18" s="35">
        <f>$AO$4+$AR$4*SIN(RADIANS(I$13-I$16+I$9))</f>
        <v>15.574529656641065</v>
      </c>
      <c r="AQ18" s="35">
        <f>$AO$4+$AR$4*SIN(RADIANS(J$13-J$16+J$9))</f>
        <v>16.086279825301748</v>
      </c>
      <c r="AR18" s="35">
        <f>$AP$4-$AR$4*COS(RADIANS(H$13-H$16+H$9))</f>
        <v>4.734230532408375</v>
      </c>
      <c r="AS18" s="35">
        <f>$AP$4-$AR$4*COS(RADIANS(I$13-I$16+I$9))</f>
        <v>5.058130704615326</v>
      </c>
      <c r="AT18" s="116">
        <f>$AP$4-$AR$4*COS(RADIANS(J$13-J$16+J$9))</f>
        <v>5.6225253212712385</v>
      </c>
      <c r="AV18" s="101"/>
      <c r="AW18" s="35">
        <f t="shared" si="18"/>
        <v>2.7028519806308715</v>
      </c>
      <c r="AX18" s="36">
        <f t="shared" si="19"/>
        <v>44.278772262226745</v>
      </c>
      <c r="AY18" s="35">
        <f t="shared" si="20"/>
        <v>2.7028519806308715</v>
      </c>
      <c r="AZ18" s="37">
        <f t="shared" si="21"/>
        <v>44.27948537100403</v>
      </c>
    </row>
    <row r="19" spans="4:52" ht="12.75" customHeight="1">
      <c r="D19" s="158"/>
      <c r="G19" s="4"/>
      <c r="H19" s="4"/>
      <c r="I19" s="4"/>
      <c r="J19" s="4"/>
      <c r="K19" s="4"/>
      <c r="L19" s="4"/>
      <c r="M19" s="4"/>
      <c r="N19" s="4"/>
      <c r="O19" s="4"/>
      <c r="P19" s="97"/>
      <c r="Q19" s="36">
        <f t="shared" si="22"/>
        <v>8.75</v>
      </c>
      <c r="R19" s="36">
        <f t="shared" si="14"/>
        <v>16.006090352091903</v>
      </c>
      <c r="S19" s="36"/>
      <c r="T19" s="36">
        <f t="shared" si="15"/>
        <v>3.6019236972134028</v>
      </c>
      <c r="U19" s="36">
        <f t="shared" si="15"/>
        <v>5.628005776895941</v>
      </c>
      <c r="V19" s="36">
        <f t="shared" si="15"/>
        <v>8.104328318730156</v>
      </c>
      <c r="W19" s="36">
        <f t="shared" si="15"/>
        <v>11.030891322716046</v>
      </c>
      <c r="X19" s="36">
        <f t="shared" si="15"/>
        <v>14.407694788853611</v>
      </c>
      <c r="Y19" s="36">
        <f t="shared" si="15"/>
        <v>18.23473871714285</v>
      </c>
      <c r="Z19" s="37">
        <f t="shared" si="15"/>
        <v>22.512023107583765</v>
      </c>
      <c r="AB19" s="97"/>
      <c r="AC19" s="36">
        <f t="shared" si="23"/>
        <v>8.75</v>
      </c>
      <c r="AD19" s="36">
        <f t="shared" si="16"/>
        <v>16.006291302766357</v>
      </c>
      <c r="AE19" s="36"/>
      <c r="AF19" s="36">
        <f t="shared" si="17"/>
        <v>3.6018401778140867</v>
      </c>
      <c r="AG19" s="36">
        <f t="shared" si="17"/>
        <v>5.6278752778345105</v>
      </c>
      <c r="AH19" s="36">
        <f t="shared" si="17"/>
        <v>8.104140400081693</v>
      </c>
      <c r="AI19" s="36">
        <f t="shared" si="17"/>
        <v>11.03063554455564</v>
      </c>
      <c r="AJ19" s="36">
        <f t="shared" si="17"/>
        <v>14.407360711256347</v>
      </c>
      <c r="AK19" s="36">
        <f t="shared" si="17"/>
        <v>18.234315900183812</v>
      </c>
      <c r="AL19" s="37">
        <f t="shared" si="17"/>
        <v>22.511501111338042</v>
      </c>
      <c r="AN19" s="101" t="s">
        <v>126</v>
      </c>
      <c r="AO19" s="35">
        <f>AO$12+$AR$4*SIN(RADIANS(H$13-H$16))*(COS(RADIANS(H$9))-1)</f>
        <v>14</v>
      </c>
      <c r="AP19" s="35">
        <f>AP$12+$AR$4*SIN(RADIANS(I$13-I$16))*(COS(RADIANS(I$9))-1)</f>
        <v>14.549529814010574</v>
      </c>
      <c r="AQ19" s="35">
        <f>AQ$12+$AR$4*SIN(RADIANS(J$13-J$16))*(COS(RADIANS(J$9))-1)</f>
        <v>14.968245836551855</v>
      </c>
      <c r="AR19" s="35">
        <f>AR$12+$AR$4*SIN(RADIANS(H$13-H$16))*SIN(RADIANS(H$9))</f>
        <v>7</v>
      </c>
      <c r="AS19" s="35">
        <f>AS$12+$AR$4*SIN(RADIANS(I$13-I$16))*SIN(RADIANS(I$9))</f>
        <v>7.256249960657623</v>
      </c>
      <c r="AT19" s="116">
        <f>AT$12+$AR$4*SIN(RADIANS(J$13-J$16))*SIN(RADIANS(J$9))</f>
        <v>7.5590169943749475</v>
      </c>
      <c r="AV19" s="101"/>
      <c r="AW19" s="35">
        <f t="shared" si="18"/>
        <v>1.977604020468917</v>
      </c>
      <c r="AX19" s="36">
        <f t="shared" si="19"/>
        <v>32.01218070418379</v>
      </c>
      <c r="AY19" s="35">
        <f t="shared" si="20"/>
        <v>1.977604020468917</v>
      </c>
      <c r="AZ19" s="37">
        <f t="shared" si="21"/>
        <v>32.012582605532714</v>
      </c>
    </row>
    <row r="20" spans="15:52" ht="12.75">
      <c r="O20" s="4"/>
      <c r="P20" s="97"/>
      <c r="Q20" s="36">
        <f t="shared" si="22"/>
        <v>5.5</v>
      </c>
      <c r="R20" s="36">
        <f t="shared" si="14"/>
        <v>10.004806874745157</v>
      </c>
      <c r="S20" s="36"/>
      <c r="T20" s="36">
        <f t="shared" si="15"/>
        <v>2.308588206471537</v>
      </c>
      <c r="U20" s="36">
        <f t="shared" si="15"/>
        <v>3.6071690726117764</v>
      </c>
      <c r="V20" s="36">
        <f t="shared" si="15"/>
        <v>5.194323464560959</v>
      </c>
      <c r="W20" s="36">
        <f t="shared" si="15"/>
        <v>7.070051382319081</v>
      </c>
      <c r="X20" s="36">
        <f t="shared" si="15"/>
        <v>9.234352825886148</v>
      </c>
      <c r="Y20" s="36">
        <f t="shared" si="15"/>
        <v>11.687227795262157</v>
      </c>
      <c r="Z20" s="37">
        <f t="shared" si="15"/>
        <v>14.428676290447106</v>
      </c>
      <c r="AB20" s="97"/>
      <c r="AC20" s="36">
        <f t="shared" si="23"/>
        <v>5.5</v>
      </c>
      <c r="AD20" s="36">
        <f t="shared" si="16"/>
        <v>10.004888956802745</v>
      </c>
      <c r="AE20" s="36"/>
      <c r="AF20" s="36">
        <f t="shared" si="17"/>
        <v>2.308551356716585</v>
      </c>
      <c r="AG20" s="36">
        <f t="shared" si="17"/>
        <v>3.6071114948696645</v>
      </c>
      <c r="AH20" s="36">
        <f t="shared" si="17"/>
        <v>5.194240552612318</v>
      </c>
      <c r="AI20" s="36">
        <f t="shared" si="17"/>
        <v>7.069938529944543</v>
      </c>
      <c r="AJ20" s="36">
        <f t="shared" si="17"/>
        <v>9.23420542686634</v>
      </c>
      <c r="AK20" s="36">
        <f t="shared" si="17"/>
        <v>11.687041243377713</v>
      </c>
      <c r="AL20" s="37">
        <f t="shared" si="17"/>
        <v>14.428445979478658</v>
      </c>
      <c r="AN20" s="101" t="s">
        <v>31</v>
      </c>
      <c r="AO20" s="35">
        <f>$AO$4</f>
        <v>14</v>
      </c>
      <c r="AP20" s="35">
        <f>$AO$4</f>
        <v>14</v>
      </c>
      <c r="AQ20" s="35">
        <f>$AO$4</f>
        <v>14</v>
      </c>
      <c r="AR20" s="35">
        <f>$AP$4</f>
        <v>7</v>
      </c>
      <c r="AS20" s="35">
        <f>$AP$4</f>
        <v>7</v>
      </c>
      <c r="AT20" s="116">
        <f>$AP$4</f>
        <v>7</v>
      </c>
      <c r="AV20" s="101"/>
      <c r="AW20" s="35">
        <f t="shared" si="18"/>
        <v>1.2459947827629119</v>
      </c>
      <c r="AX20" s="36">
        <f t="shared" si="19"/>
        <v>20.009613749490306</v>
      </c>
      <c r="AY20" s="35">
        <f t="shared" si="20"/>
        <v>1.2459947827629119</v>
      </c>
      <c r="AZ20" s="37">
        <f t="shared" si="21"/>
        <v>20.00977791360549</v>
      </c>
    </row>
    <row r="21" spans="15:52" ht="12.75" customHeight="1" thickBot="1">
      <c r="O21" s="4"/>
      <c r="P21" s="97"/>
      <c r="Q21" s="36">
        <f t="shared" si="22"/>
        <v>2.25</v>
      </c>
      <c r="R21" s="36">
        <f t="shared" si="14"/>
        <v>4.080779162630691</v>
      </c>
      <c r="S21" s="36"/>
      <c r="T21" s="36">
        <f t="shared" si="15"/>
        <v>0.9541207965396721</v>
      </c>
      <c r="U21" s="36">
        <f t="shared" si="15"/>
        <v>1.4908137445932375</v>
      </c>
      <c r="V21" s="36">
        <f t="shared" si="15"/>
        <v>2.146771792214262</v>
      </c>
      <c r="W21" s="36">
        <f t="shared" si="15"/>
        <v>2.9219949394027456</v>
      </c>
      <c r="X21" s="36">
        <f t="shared" si="15"/>
        <v>3.8164831861586883</v>
      </c>
      <c r="Y21" s="36">
        <f t="shared" si="15"/>
        <v>4.83023653248209</v>
      </c>
      <c r="Z21" s="37">
        <f t="shared" si="15"/>
        <v>5.96325497837295</v>
      </c>
      <c r="AB21" s="97"/>
      <c r="AC21" s="36">
        <f t="shared" si="23"/>
        <v>2.25</v>
      </c>
      <c r="AD21" s="36">
        <f t="shared" si="16"/>
        <v>4.080793123895745</v>
      </c>
      <c r="AE21" s="36"/>
      <c r="AF21" s="36">
        <f t="shared" si="17"/>
        <v>0.9541142961825902</v>
      </c>
      <c r="AG21" s="36">
        <f t="shared" si="17"/>
        <v>1.490803587785297</v>
      </c>
      <c r="AH21" s="36">
        <f t="shared" si="17"/>
        <v>2.146757166410828</v>
      </c>
      <c r="AI21" s="36">
        <f t="shared" si="17"/>
        <v>2.9219750320591826</v>
      </c>
      <c r="AJ21" s="36">
        <f t="shared" si="17"/>
        <v>3.816457184730361</v>
      </c>
      <c r="AK21" s="36">
        <f t="shared" si="17"/>
        <v>4.830203624424363</v>
      </c>
      <c r="AL21" s="37">
        <f t="shared" si="17"/>
        <v>5.963214351141188</v>
      </c>
      <c r="AN21" s="120" t="s">
        <v>35</v>
      </c>
      <c r="AO21" s="28">
        <f>AO$14+$AS$4*(COS(RADIANS(H$9))-1)</f>
        <v>18.53153893518325</v>
      </c>
      <c r="AP21" s="28">
        <f>AP$14+$AS$4*(COS(RADIANS(I$9))-1)</f>
        <v>18.53153893518325</v>
      </c>
      <c r="AQ21" s="28">
        <f>AQ$14+$AS$4*(COS(RADIANS(J$9))-1)</f>
        <v>18.330127018922195</v>
      </c>
      <c r="AR21" s="28">
        <f>AR$14+$AS$4*SIN(RADIANS(H$9))</f>
        <v>9.113091308703497</v>
      </c>
      <c r="AS21" s="28">
        <f>AS$14+$AS$4*SIN(RADIANS(I$9))</f>
        <v>9.113091308703497</v>
      </c>
      <c r="AT21" s="29">
        <f>AT$14+$AS$4*SIN(RADIANS(J$9))</f>
        <v>9.5</v>
      </c>
      <c r="AV21" s="101"/>
      <c r="AW21" s="35">
        <f t="shared" si="18"/>
        <v>0.510377604867892</v>
      </c>
      <c r="AX21" s="36">
        <f t="shared" si="19"/>
        <v>8.161558325261378</v>
      </c>
      <c r="AY21" s="35">
        <f t="shared" si="20"/>
        <v>0.510377604867892</v>
      </c>
      <c r="AZ21" s="37">
        <f t="shared" si="21"/>
        <v>8.16158624779149</v>
      </c>
    </row>
    <row r="22" spans="15:52" ht="12.75">
      <c r="O22" s="4"/>
      <c r="P22" s="110" t="s">
        <v>93</v>
      </c>
      <c r="Q22" s="111">
        <f>$J$9</f>
        <v>30</v>
      </c>
      <c r="R22" s="112">
        <f aca="true" t="shared" si="24" ref="R22:R29">-$J$17+DEGREES(ASIN((SIN(RADIANS(90-$J$16+Q22))-SIN(RADIANS(90-$J$16)))/((SIN(RADIANS(90-$J$16+$J$9))-SIN(RADIANS(90-$J$16)))/(SIN(RADIANS($J$17+$J$7-90))-SIN(RADIANS($J$17-90))))+SIN(RADIANS($J$17-90))))+90</f>
        <v>60</v>
      </c>
      <c r="S22" s="112"/>
      <c r="T22" s="93">
        <f aca="true" t="shared" si="25" ref="T22:Z29">0.0000085*($J$4^2*$J$5*T$3^2*SIN(RADIANS($Q22))*(COS(RADIANS($J$17+$R22-90))/COS(RADIANS(90-$J$16+$Q22)))*(SIN(RADIANS(90-$J$16+$Q22))-SIN(RADIANS(90-$J$16)))/(SIN(RADIANS($J$17+$R22-90))-SIN(RADIANS($J$17-90))))</f>
        <v>13.8314982055858</v>
      </c>
      <c r="U22" s="93">
        <f t="shared" si="25"/>
        <v>21.611715946227818</v>
      </c>
      <c r="V22" s="93">
        <f t="shared" si="25"/>
        <v>31.120870962568052</v>
      </c>
      <c r="W22" s="93">
        <f t="shared" si="25"/>
        <v>42.358963254606515</v>
      </c>
      <c r="X22" s="93">
        <f t="shared" si="25"/>
        <v>55.3259928223432</v>
      </c>
      <c r="Y22" s="93">
        <f t="shared" si="25"/>
        <v>70.02195966577813</v>
      </c>
      <c r="Z22" s="113">
        <f t="shared" si="25"/>
        <v>86.44686378491127</v>
      </c>
      <c r="AB22" s="110" t="s">
        <v>93</v>
      </c>
      <c r="AC22" s="111">
        <f>$J$10</f>
        <v>30</v>
      </c>
      <c r="AD22" s="112">
        <f aca="true" t="shared" si="26" ref="AD22:AD29">$J$17-DEGREES(ASIN((SIN(RADIANS(90-$J$16+-AC22))-SIN(RADIANS(90-$J$16)))/((SIN(RADIANS(90-$J$16+$J$9))-SIN(RADIANS(90-$J$16)))/(SIN(RADIANS($J$17+$J$7-90))-SIN(RADIANS($J$17-90))))+SIN(RADIANS($J$17-90))))-90</f>
        <v>60</v>
      </c>
      <c r="AE22" s="112"/>
      <c r="AF22" s="93">
        <f aca="true" t="shared" si="27" ref="AF22:AL29">0.0000085*($J$4^2*$J$5*AF$3^2*SIN(RADIANS($AC22))*(COS(RADIANS($J$17+-$AD22-90))/COS(RADIANS(90-$J$16+-$AC22)))*(SIN(RADIANS(90-$J$16+-$AC22))-SIN(RADIANS(90-$J$16)))/(SIN(RADIANS($J$17+-$AD22-90))-SIN(RADIANS($J$17-90))))</f>
        <v>17.896233722093907</v>
      </c>
      <c r="AG22" s="93">
        <f t="shared" si="27"/>
        <v>27.962865190771726</v>
      </c>
      <c r="AH22" s="93">
        <f t="shared" si="27"/>
        <v>40.266525874711284</v>
      </c>
      <c r="AI22" s="93">
        <f t="shared" si="27"/>
        <v>54.807215773912574</v>
      </c>
      <c r="AJ22" s="93">
        <f t="shared" si="27"/>
        <v>71.58493488837563</v>
      </c>
      <c r="AK22" s="93">
        <f t="shared" si="27"/>
        <v>90.59968321810041</v>
      </c>
      <c r="AL22" s="113">
        <f t="shared" si="27"/>
        <v>111.8514607630869</v>
      </c>
      <c r="AN22" s="114" t="s">
        <v>101</v>
      </c>
      <c r="AO22" s="93"/>
      <c r="AP22" s="93"/>
      <c r="AQ22" s="93"/>
      <c r="AR22" s="93"/>
      <c r="AS22" s="93"/>
      <c r="AT22" s="113"/>
      <c r="AV22" s="114" t="s">
        <v>133</v>
      </c>
      <c r="AW22" s="17">
        <f aca="true" t="shared" si="28" ref="AW22:AW29">$J$4*SIN(RADIANS($Q22))</f>
        <v>8.999999999999998</v>
      </c>
      <c r="AX22" s="93">
        <f aca="true" t="shared" si="29" ref="AX22:AX29">100*$R22/$R$22</f>
        <v>100</v>
      </c>
      <c r="AY22" s="17">
        <f aca="true" t="shared" si="30" ref="AY22:AY29">$J$4*SIN(RADIANS($AC22))</f>
        <v>8.999999999999998</v>
      </c>
      <c r="AZ22" s="113">
        <f aca="true" t="shared" si="31" ref="AZ22:AZ29">100*$AD22/$AD$22</f>
        <v>100</v>
      </c>
    </row>
    <row r="23" spans="15:52" ht="12.75">
      <c r="O23" s="4"/>
      <c r="P23" s="97"/>
      <c r="Q23" s="36">
        <f aca="true" t="shared" si="32" ref="Q23:Q29">Q22-0.13*$Q$22</f>
        <v>26.1</v>
      </c>
      <c r="R23" s="36">
        <f t="shared" si="24"/>
        <v>48.85600611591215</v>
      </c>
      <c r="S23" s="36"/>
      <c r="T23" s="36">
        <f t="shared" si="25"/>
        <v>17.86608060756887</v>
      </c>
      <c r="U23" s="36">
        <f t="shared" si="25"/>
        <v>27.915750949326362</v>
      </c>
      <c r="V23" s="36">
        <f t="shared" si="25"/>
        <v>40.19868136702996</v>
      </c>
      <c r="W23" s="36">
        <f t="shared" si="25"/>
        <v>54.71487186067965</v>
      </c>
      <c r="X23" s="36">
        <f t="shared" si="25"/>
        <v>71.46432243027547</v>
      </c>
      <c r="Y23" s="36">
        <f t="shared" si="25"/>
        <v>90.44703307581739</v>
      </c>
      <c r="Z23" s="37">
        <f t="shared" si="25"/>
        <v>111.66300379730545</v>
      </c>
      <c r="AB23" s="97"/>
      <c r="AC23" s="36">
        <f aca="true" t="shared" si="33" ref="AC23:AC29">AC22-0.13*$AC$22</f>
        <v>26.1</v>
      </c>
      <c r="AD23" s="36">
        <f t="shared" si="26"/>
        <v>50.09585047526892</v>
      </c>
      <c r="AE23" s="36"/>
      <c r="AF23" s="36">
        <f t="shared" si="27"/>
        <v>18.37724983003471</v>
      </c>
      <c r="AG23" s="36">
        <f t="shared" si="27"/>
        <v>28.714452859429237</v>
      </c>
      <c r="AH23" s="36">
        <f t="shared" si="27"/>
        <v>41.348812117578106</v>
      </c>
      <c r="AI23" s="36">
        <f t="shared" si="27"/>
        <v>56.28032760448129</v>
      </c>
      <c r="AJ23" s="36">
        <f t="shared" si="27"/>
        <v>73.50899932013884</v>
      </c>
      <c r="AK23" s="36">
        <f t="shared" si="27"/>
        <v>93.03482726455071</v>
      </c>
      <c r="AL23" s="37">
        <f t="shared" si="27"/>
        <v>114.85781143771695</v>
      </c>
      <c r="AN23" s="101" t="s">
        <v>33</v>
      </c>
      <c r="AO23" s="35">
        <f>$AO$4+$AR$4*SIN(RADIANS(H$13-H$16))-$AQ$4*SIN(RADIANS(H$13))+AO$7*COS(RADIANS(-90+H$17+H$13))</f>
        <v>4.226667162609092</v>
      </c>
      <c r="AP23" s="35">
        <f>$AO$4+$AR$4*SIN(RADIANS(I$13-I$16))-$AQ$4*SIN(RADIANS(I$13))+AP$7*COS(RADIANS(-90+I$17+I$13))</f>
        <v>4.569315304369173</v>
      </c>
      <c r="AQ23" s="35">
        <f>$AO$4+$AR$4*SIN(RADIANS(J$13-J$16))-$AQ$4*SIN(RADIANS(J$13))+AQ$7*COS(RADIANS(-90+J$17+J$13))</f>
        <v>4.818457684353813</v>
      </c>
      <c r="AR23" s="35">
        <f>$AP$4-$AR$4*COS(RADIANS(H$13-H$16))+$AQ$4*COS(RADIANS(H$13))+AR$7*SIN(RADIANS(-90+H$17+H$13))</f>
        <v>5.589127488553416</v>
      </c>
      <c r="AS23" s="35">
        <f>$AP$4-$AR$4*COS(RADIANS(I$13-I$16))+$AQ$4*COS(RADIANS(I$13))+AS$7*SIN(RADIANS(-90+I$17+I$13))</f>
        <v>3.4935777791277447</v>
      </c>
      <c r="AT23" s="116">
        <f>$AP$4-$AR$4*COS(RADIANS(J$13-J$16))+$AQ$4*COS(RADIANS(J$13))+AT$7*SIN(RADIANS(-90+J$17+J$13))</f>
        <v>6.0549264712360165</v>
      </c>
      <c r="AV23" s="101"/>
      <c r="AW23" s="35">
        <f t="shared" si="28"/>
        <v>7.918905057406472</v>
      </c>
      <c r="AX23" s="36">
        <f t="shared" si="29"/>
        <v>81.42667685985359</v>
      </c>
      <c r="AY23" s="35">
        <f t="shared" si="30"/>
        <v>7.918905057406472</v>
      </c>
      <c r="AZ23" s="37">
        <f t="shared" si="31"/>
        <v>83.49308412544819</v>
      </c>
    </row>
    <row r="24" spans="15:52" ht="12.75">
      <c r="O24" s="4"/>
      <c r="P24" s="97"/>
      <c r="Q24" s="36">
        <f t="shared" si="32"/>
        <v>22.200000000000003</v>
      </c>
      <c r="R24" s="36">
        <f t="shared" si="24"/>
        <v>40.16223589541284</v>
      </c>
      <c r="S24" s="36"/>
      <c r="T24" s="36">
        <f t="shared" si="25"/>
        <v>17.9558392785662</v>
      </c>
      <c r="U24" s="36">
        <f t="shared" si="25"/>
        <v>28.055998872759687</v>
      </c>
      <c r="V24" s="36">
        <f t="shared" si="25"/>
        <v>40.40063837677395</v>
      </c>
      <c r="W24" s="36">
        <f t="shared" si="25"/>
        <v>54.989757790608984</v>
      </c>
      <c r="X24" s="36">
        <f t="shared" si="25"/>
        <v>71.8233571142648</v>
      </c>
      <c r="Y24" s="36">
        <f t="shared" si="25"/>
        <v>90.90143634774137</v>
      </c>
      <c r="Z24" s="37">
        <f t="shared" si="25"/>
        <v>112.22399549103875</v>
      </c>
      <c r="AB24" s="97"/>
      <c r="AC24" s="36">
        <f t="shared" si="33"/>
        <v>22.200000000000003</v>
      </c>
      <c r="AD24" s="36">
        <f t="shared" si="26"/>
        <v>41.35806875951732</v>
      </c>
      <c r="AE24" s="36"/>
      <c r="AF24" s="36">
        <f t="shared" si="27"/>
        <v>17.458996391253187</v>
      </c>
      <c r="AG24" s="36">
        <f t="shared" si="27"/>
        <v>27.279681861333103</v>
      </c>
      <c r="AH24" s="36">
        <f t="shared" si="27"/>
        <v>39.28274188031966</v>
      </c>
      <c r="AI24" s="36">
        <f t="shared" si="27"/>
        <v>53.46817644821288</v>
      </c>
      <c r="AJ24" s="36">
        <f t="shared" si="27"/>
        <v>69.83598556501275</v>
      </c>
      <c r="AK24" s="36">
        <f t="shared" si="27"/>
        <v>88.38616923071925</v>
      </c>
      <c r="AL24" s="37">
        <f t="shared" si="27"/>
        <v>109.11872744533241</v>
      </c>
      <c r="AN24" s="101" t="s">
        <v>124</v>
      </c>
      <c r="AO24" s="35">
        <f>AO23-AO$7*SIN(RADIANS(180-H$17-H$13+H$8))</f>
        <v>3.3529523872436986</v>
      </c>
      <c r="AP24" s="35">
        <f>AP23-AP$7*SIN(RADIANS(180-I$17-I$13+I$8))</f>
        <v>3.758964449887392</v>
      </c>
      <c r="AQ24" s="35">
        <f>AQ23-AQ$7*SIN(RADIANS(180-J$17-J$13+J$8))</f>
        <v>3.850211847801959</v>
      </c>
      <c r="AR24" s="35">
        <f>AR23-AR$7*COS(RADIANS(180-H$17-H$13+H$8))</f>
        <v>4.900506271746872</v>
      </c>
      <c r="AS24" s="35">
        <f>AS23-AS$7*COS(RADIANS(180-I$17-I$13+I$8))</f>
        <v>2.377519837710503</v>
      </c>
      <c r="AT24" s="116">
        <f>AT23-AT$7*COS(RADIANS(180-J$17-J$13+J$8))</f>
        <v>5.149988556889248</v>
      </c>
      <c r="AV24" s="101"/>
      <c r="AW24" s="35">
        <f t="shared" si="28"/>
        <v>6.801134162732409</v>
      </c>
      <c r="AX24" s="36">
        <f t="shared" si="29"/>
        <v>66.93705982568807</v>
      </c>
      <c r="AY24" s="35">
        <f t="shared" si="30"/>
        <v>6.801134162732409</v>
      </c>
      <c r="AZ24" s="37">
        <f t="shared" si="31"/>
        <v>68.93011459919553</v>
      </c>
    </row>
    <row r="25" spans="15:52" ht="12.75">
      <c r="O25" s="4"/>
      <c r="P25" s="97"/>
      <c r="Q25" s="36">
        <f t="shared" si="32"/>
        <v>18.300000000000004</v>
      </c>
      <c r="R25" s="36">
        <f t="shared" si="24"/>
        <v>32.42778788574895</v>
      </c>
      <c r="S25" s="36"/>
      <c r="T25" s="36">
        <f t="shared" si="25"/>
        <v>16.24956141339558</v>
      </c>
      <c r="U25" s="36">
        <f t="shared" si="25"/>
        <v>25.38993970843059</v>
      </c>
      <c r="V25" s="36">
        <f t="shared" si="25"/>
        <v>36.561513180140054</v>
      </c>
      <c r="W25" s="36">
        <f t="shared" si="25"/>
        <v>49.764281828523956</v>
      </c>
      <c r="X25" s="36">
        <f t="shared" si="25"/>
        <v>64.99824565358232</v>
      </c>
      <c r="Y25" s="36">
        <f t="shared" si="25"/>
        <v>82.26340465531511</v>
      </c>
      <c r="Z25" s="37">
        <f t="shared" si="25"/>
        <v>101.55975883372236</v>
      </c>
      <c r="AB25" s="97"/>
      <c r="AC25" s="36">
        <f t="shared" si="33"/>
        <v>18.300000000000004</v>
      </c>
      <c r="AD25" s="36">
        <f t="shared" si="26"/>
        <v>33.331283303456544</v>
      </c>
      <c r="AE25" s="36"/>
      <c r="AF25" s="36">
        <f t="shared" si="27"/>
        <v>15.574089974631539</v>
      </c>
      <c r="AG25" s="36">
        <f t="shared" si="27"/>
        <v>24.334515585361785</v>
      </c>
      <c r="AH25" s="36">
        <f t="shared" si="27"/>
        <v>35.041702442920965</v>
      </c>
      <c r="AI25" s="36">
        <f t="shared" si="27"/>
        <v>47.69565054730909</v>
      </c>
      <c r="AJ25" s="36">
        <f t="shared" si="27"/>
        <v>62.296359898526156</v>
      </c>
      <c r="AK25" s="36">
        <f t="shared" si="27"/>
        <v>78.84383049657217</v>
      </c>
      <c r="AL25" s="37">
        <f t="shared" si="27"/>
        <v>97.33806234144714</v>
      </c>
      <c r="AN25" s="101" t="s">
        <v>125</v>
      </c>
      <c r="AO25" s="35">
        <f>$AO$4+$AR$4*SIN(RADIANS(H$13-H$16-H$10))</f>
        <v>13.352952387243699</v>
      </c>
      <c r="AP25" s="35">
        <f>$AO$4+$AR$4*SIN(RADIANS(I$13-I$16-I$10))</f>
        <v>13.524529971380083</v>
      </c>
      <c r="AQ25" s="35">
        <f>$AO$4+$AR$4*SIN(RADIANS(J$13-J$16-J$10))</f>
        <v>13.85021184780196</v>
      </c>
      <c r="AR25" s="35">
        <f>$AP$4-$AR$4*COS(RADIANS(H$13-H$16-H$10))</f>
        <v>4.58518543427733</v>
      </c>
      <c r="AS25" s="35">
        <f>$AP$4-$AR$4*COS(RADIANS(I$13-I$16-I$10))</f>
        <v>4.545630783300081</v>
      </c>
      <c r="AT25" s="116">
        <f>$AP$4-$AR$4*COS(RADIANS(J$13-J$16-J$10))</f>
        <v>4.504491332521344</v>
      </c>
      <c r="AV25" s="101"/>
      <c r="AW25" s="35">
        <f t="shared" si="28"/>
        <v>5.65186420741329</v>
      </c>
      <c r="AX25" s="36">
        <f t="shared" si="29"/>
        <v>54.04631314291491</v>
      </c>
      <c r="AY25" s="35">
        <f t="shared" si="30"/>
        <v>5.65186420741329</v>
      </c>
      <c r="AZ25" s="37">
        <f t="shared" si="31"/>
        <v>55.55213883909424</v>
      </c>
    </row>
    <row r="26" spans="15:52" ht="12.75">
      <c r="O26" s="4"/>
      <c r="P26" s="97"/>
      <c r="Q26" s="36">
        <f t="shared" si="32"/>
        <v>14.400000000000004</v>
      </c>
      <c r="R26" s="36">
        <f t="shared" si="24"/>
        <v>25.18872739273533</v>
      </c>
      <c r="S26" s="36"/>
      <c r="T26" s="36">
        <f t="shared" si="25"/>
        <v>13.532564839096404</v>
      </c>
      <c r="U26" s="36">
        <f t="shared" si="25"/>
        <v>21.14463256108813</v>
      </c>
      <c r="V26" s="36">
        <f t="shared" si="25"/>
        <v>30.44827088796691</v>
      </c>
      <c r="W26" s="36">
        <f t="shared" si="25"/>
        <v>41.44347981973272</v>
      </c>
      <c r="X26" s="36">
        <f t="shared" si="25"/>
        <v>54.130259356385615</v>
      </c>
      <c r="Y26" s="36">
        <f t="shared" si="25"/>
        <v>68.50860949792553</v>
      </c>
      <c r="Z26" s="37">
        <f t="shared" si="25"/>
        <v>84.57853024435252</v>
      </c>
      <c r="AB26" s="97"/>
      <c r="AC26" s="36">
        <f t="shared" si="33"/>
        <v>14.400000000000004</v>
      </c>
      <c r="AD26" s="36">
        <f t="shared" si="26"/>
        <v>25.776488673827146</v>
      </c>
      <c r="AE26" s="36"/>
      <c r="AF26" s="36">
        <f t="shared" si="27"/>
        <v>12.985198293804519</v>
      </c>
      <c r="AG26" s="36">
        <f t="shared" si="27"/>
        <v>20.28937233406956</v>
      </c>
      <c r="AH26" s="36">
        <f t="shared" si="27"/>
        <v>29.216696161060167</v>
      </c>
      <c r="AI26" s="36">
        <f t="shared" si="27"/>
        <v>39.767169774776335</v>
      </c>
      <c r="AJ26" s="36">
        <f t="shared" si="27"/>
        <v>51.940793175218076</v>
      </c>
      <c r="AK26" s="36">
        <f t="shared" si="27"/>
        <v>65.73756636238538</v>
      </c>
      <c r="AL26" s="37">
        <f t="shared" si="27"/>
        <v>81.15748933627825</v>
      </c>
      <c r="AN26" s="101" t="s">
        <v>126</v>
      </c>
      <c r="AO26" s="35">
        <f>AO$12+$AR$4*SIN(RADIANS(H$13-H$16))*(COS(RADIANS(H$10))-1)</f>
        <v>14</v>
      </c>
      <c r="AP26" s="35">
        <f>AP$12+$AR$4*SIN(RADIANS(I$13-I$16))*(COS(RADIANS(I$10))-1)</f>
        <v>14.549529814010574</v>
      </c>
      <c r="AQ26" s="35">
        <f>AQ$12+$AR$4*SIN(RADIANS(J$13-J$16))*(COS(RADIANS(J$10))-1)</f>
        <v>14.968245836551855</v>
      </c>
      <c r="AR26" s="35">
        <f>AR$12-$AR$4*SIN(RADIANS(H$13-H$16))*SIN(RADIANS(H$10))</f>
        <v>7</v>
      </c>
      <c r="AS26" s="35">
        <f>AS$12-$AR$4*SIN(RADIANS(I$13-I$16))*SIN(RADIANS(I$10))</f>
        <v>6.743750039342377</v>
      </c>
      <c r="AT26" s="116">
        <f>AT$12-$AR$4*SIN(RADIANS(J$13-J$16))*SIN(RADIANS(J$10))</f>
        <v>6.4409830056250525</v>
      </c>
      <c r="AV26" s="101"/>
      <c r="AW26" s="35">
        <f t="shared" si="28"/>
        <v>4.476417968967388</v>
      </c>
      <c r="AX26" s="36">
        <f t="shared" si="29"/>
        <v>41.981212321225556</v>
      </c>
      <c r="AY26" s="35">
        <f t="shared" si="30"/>
        <v>4.476417968967388</v>
      </c>
      <c r="AZ26" s="37">
        <f t="shared" si="31"/>
        <v>42.96081445637857</v>
      </c>
    </row>
    <row r="27" spans="16:52" ht="12.75">
      <c r="P27" s="97"/>
      <c r="Q27" s="36">
        <f t="shared" si="32"/>
        <v>10.500000000000004</v>
      </c>
      <c r="R27" s="36">
        <f t="shared" si="24"/>
        <v>18.227011144381834</v>
      </c>
      <c r="S27" s="36"/>
      <c r="T27" s="36">
        <f t="shared" si="25"/>
        <v>10.211575414391914</v>
      </c>
      <c r="U27" s="36">
        <f t="shared" si="25"/>
        <v>15.955586584987362</v>
      </c>
      <c r="V27" s="36">
        <f t="shared" si="25"/>
        <v>22.976044682381808</v>
      </c>
      <c r="W27" s="36">
        <f t="shared" si="25"/>
        <v>31.272949706575236</v>
      </c>
      <c r="X27" s="36">
        <f t="shared" si="25"/>
        <v>40.84630165756766</v>
      </c>
      <c r="Y27" s="36">
        <f t="shared" si="25"/>
        <v>51.696100535359065</v>
      </c>
      <c r="Z27" s="37">
        <f t="shared" si="25"/>
        <v>63.82234633994945</v>
      </c>
      <c r="AB27" s="97"/>
      <c r="AC27" s="36">
        <f t="shared" si="33"/>
        <v>10.500000000000004</v>
      </c>
      <c r="AD27" s="36">
        <f t="shared" si="26"/>
        <v>18.547470382733422</v>
      </c>
      <c r="AE27" s="36"/>
      <c r="AF27" s="36">
        <f t="shared" si="27"/>
        <v>9.87748896741262</v>
      </c>
      <c r="AG27" s="36">
        <f t="shared" si="27"/>
        <v>15.433576511582219</v>
      </c>
      <c r="AH27" s="36">
        <f t="shared" si="27"/>
        <v>22.224350176678396</v>
      </c>
      <c r="AI27" s="36">
        <f t="shared" si="27"/>
        <v>30.24980996270115</v>
      </c>
      <c r="AJ27" s="36">
        <f t="shared" si="27"/>
        <v>39.50995586965048</v>
      </c>
      <c r="AK27" s="36">
        <f t="shared" si="27"/>
        <v>50.004787897526384</v>
      </c>
      <c r="AL27" s="37">
        <f t="shared" si="27"/>
        <v>61.734306046328875</v>
      </c>
      <c r="AN27" s="101" t="s">
        <v>31</v>
      </c>
      <c r="AO27" s="35">
        <f>$AO$4</f>
        <v>14</v>
      </c>
      <c r="AP27" s="35">
        <f>$AO$4</f>
        <v>14</v>
      </c>
      <c r="AQ27" s="35">
        <f>$AO$4</f>
        <v>14</v>
      </c>
      <c r="AR27" s="35">
        <f>$AP$4</f>
        <v>7</v>
      </c>
      <c r="AS27" s="35">
        <f>$AP$4</f>
        <v>7</v>
      </c>
      <c r="AT27" s="116">
        <f>$AP$4</f>
        <v>7</v>
      </c>
      <c r="AV27" s="101"/>
      <c r="AW27" s="35">
        <f t="shared" si="28"/>
        <v>3.2802394588586554</v>
      </c>
      <c r="AX27" s="36">
        <f t="shared" si="29"/>
        <v>30.378351907303056</v>
      </c>
      <c r="AY27" s="35">
        <f t="shared" si="30"/>
        <v>3.2802394588586554</v>
      </c>
      <c r="AZ27" s="37">
        <f t="shared" si="31"/>
        <v>30.912450637889037</v>
      </c>
    </row>
    <row r="28" spans="16:52" ht="13.5" thickBot="1">
      <c r="P28" s="97"/>
      <c r="Q28" s="36">
        <f t="shared" si="32"/>
        <v>6.600000000000003</v>
      </c>
      <c r="R28" s="36">
        <f t="shared" si="24"/>
        <v>11.415844358335065</v>
      </c>
      <c r="S28" s="36"/>
      <c r="T28" s="36">
        <f t="shared" si="25"/>
        <v>6.538538171500692</v>
      </c>
      <c r="U28" s="36">
        <f t="shared" si="25"/>
        <v>10.216465892969829</v>
      </c>
      <c r="V28" s="36">
        <f t="shared" si="25"/>
        <v>14.711710885876554</v>
      </c>
      <c r="W28" s="36">
        <f t="shared" si="25"/>
        <v>20.024273150220864</v>
      </c>
      <c r="X28" s="36">
        <f t="shared" si="25"/>
        <v>26.154152686002767</v>
      </c>
      <c r="Y28" s="36">
        <f t="shared" si="25"/>
        <v>33.101349493222244</v>
      </c>
      <c r="Z28" s="37">
        <f t="shared" si="25"/>
        <v>40.865863571879316</v>
      </c>
      <c r="AB28" s="97"/>
      <c r="AC28" s="36">
        <f t="shared" si="33"/>
        <v>6.600000000000003</v>
      </c>
      <c r="AD28" s="36">
        <f t="shared" si="26"/>
        <v>11.544103324007878</v>
      </c>
      <c r="AE28" s="36"/>
      <c r="AF28" s="36">
        <f t="shared" si="27"/>
        <v>6.396326151413287</v>
      </c>
      <c r="AG28" s="36">
        <f t="shared" si="27"/>
        <v>9.99425961158326</v>
      </c>
      <c r="AH28" s="36">
        <f t="shared" si="27"/>
        <v>14.391733840679896</v>
      </c>
      <c r="AI28" s="36">
        <f t="shared" si="27"/>
        <v>19.58874883870319</v>
      </c>
      <c r="AJ28" s="36">
        <f t="shared" si="27"/>
        <v>25.58530460565315</v>
      </c>
      <c r="AK28" s="36">
        <f t="shared" si="27"/>
        <v>32.381401141529764</v>
      </c>
      <c r="AL28" s="37">
        <f t="shared" si="27"/>
        <v>39.97703844633304</v>
      </c>
      <c r="AN28" s="120" t="s">
        <v>35</v>
      </c>
      <c r="AO28" s="28">
        <f>AO$14+$AS$4*(COS(RADIANS(H$10))-1)</f>
        <v>18.82962913144534</v>
      </c>
      <c r="AP28" s="28">
        <f>AP$14+$AS$4*(COS(RADIANS(I$10))-1)</f>
        <v>18.53153893518325</v>
      </c>
      <c r="AQ28" s="28">
        <f>AQ$14+$AS$4*(COS(RADIANS(J$10))-1)</f>
        <v>18.330127018922195</v>
      </c>
      <c r="AR28" s="28">
        <f>AR$14-$AS$4*SIN(RADIANS(H$10))</f>
        <v>5.705904774487396</v>
      </c>
      <c r="AS28" s="28">
        <f>AS$14-$AS$4*SIN(RADIANS(I$10))</f>
        <v>4.886908691296503</v>
      </c>
      <c r="AT28" s="29">
        <f>AT$14-$AS$4*SIN(RADIANS(J$10))</f>
        <v>4.5</v>
      </c>
      <c r="AV28" s="101"/>
      <c r="AW28" s="35">
        <f t="shared" si="28"/>
        <v>2.0688687088716</v>
      </c>
      <c r="AX28" s="36">
        <f t="shared" si="29"/>
        <v>19.026407263891773</v>
      </c>
      <c r="AY28" s="35">
        <f t="shared" si="30"/>
        <v>2.0688687088716</v>
      </c>
      <c r="AZ28" s="37">
        <f t="shared" si="31"/>
        <v>19.240172206679798</v>
      </c>
    </row>
    <row r="29" spans="16:52" ht="13.5" thickBot="1">
      <c r="P29" s="97"/>
      <c r="Q29" s="36">
        <f t="shared" si="32"/>
        <v>2.700000000000003</v>
      </c>
      <c r="R29" s="36">
        <f t="shared" si="24"/>
        <v>4.669008731696152</v>
      </c>
      <c r="S29" s="50"/>
      <c r="T29" s="50">
        <f t="shared" si="25"/>
        <v>2.6911875606597064</v>
      </c>
      <c r="U29" s="36">
        <f t="shared" si="25"/>
        <v>4.204980563530792</v>
      </c>
      <c r="V29" s="36">
        <f t="shared" si="25"/>
        <v>6.05517201148434</v>
      </c>
      <c r="W29" s="36">
        <f t="shared" si="25"/>
        <v>8.24176190452035</v>
      </c>
      <c r="X29" s="36">
        <f t="shared" si="25"/>
        <v>10.764750242638826</v>
      </c>
      <c r="Y29" s="36">
        <f t="shared" si="25"/>
        <v>13.624137025839763</v>
      </c>
      <c r="Z29" s="37">
        <f t="shared" si="25"/>
        <v>16.819922254123167</v>
      </c>
      <c r="AB29" s="97"/>
      <c r="AC29" s="36">
        <f t="shared" si="33"/>
        <v>2.700000000000003</v>
      </c>
      <c r="AD29" s="36">
        <f t="shared" si="26"/>
        <v>4.690599066171529</v>
      </c>
      <c r="AE29" s="50"/>
      <c r="AF29" s="50">
        <f t="shared" si="27"/>
        <v>2.6665312815410593</v>
      </c>
      <c r="AG29" s="36">
        <f t="shared" si="27"/>
        <v>4.166455127407906</v>
      </c>
      <c r="AH29" s="36">
        <f t="shared" si="27"/>
        <v>5.999695383467384</v>
      </c>
      <c r="AI29" s="36">
        <f t="shared" si="27"/>
        <v>8.166252049719494</v>
      </c>
      <c r="AJ29" s="36">
        <f t="shared" si="27"/>
        <v>10.666125126164237</v>
      </c>
      <c r="AK29" s="36">
        <f t="shared" si="27"/>
        <v>13.499314612801614</v>
      </c>
      <c r="AL29" s="37">
        <f t="shared" si="27"/>
        <v>16.665820509631622</v>
      </c>
      <c r="AV29" s="120"/>
      <c r="AW29" s="28">
        <f t="shared" si="28"/>
        <v>0.8479161127735688</v>
      </c>
      <c r="AX29" s="50">
        <f t="shared" si="29"/>
        <v>7.781681219493588</v>
      </c>
      <c r="AY29" s="28">
        <f t="shared" si="30"/>
        <v>0.8479161127735688</v>
      </c>
      <c r="AZ29" s="51">
        <f t="shared" si="31"/>
        <v>7.8176651102858825</v>
      </c>
    </row>
    <row r="30" spans="16:46" ht="13.5" thickBot="1">
      <c r="P30" s="125" t="s">
        <v>134</v>
      </c>
      <c r="Q30" s="126"/>
      <c r="R30" s="126"/>
      <c r="S30" s="126"/>
      <c r="T30" s="126"/>
      <c r="U30" s="126"/>
      <c r="V30" s="126"/>
      <c r="W30" s="126"/>
      <c r="X30" s="126"/>
      <c r="Y30" s="126"/>
      <c r="Z30" s="127"/>
      <c r="AB30" s="125" t="s">
        <v>134</v>
      </c>
      <c r="AC30" s="126"/>
      <c r="AD30" s="126"/>
      <c r="AE30" s="126"/>
      <c r="AF30" s="126"/>
      <c r="AG30" s="126"/>
      <c r="AH30" s="126"/>
      <c r="AI30" s="126"/>
      <c r="AJ30" s="126"/>
      <c r="AK30" s="126"/>
      <c r="AL30" s="127"/>
      <c r="AO30" s="169"/>
      <c r="AP30" s="169"/>
      <c r="AQ30" s="169"/>
      <c r="AR30" s="169"/>
      <c r="AS30" s="169"/>
      <c r="AT30" s="169"/>
    </row>
    <row r="31" spans="20:46" ht="12.75">
      <c r="T31" s="158"/>
      <c r="AF31" s="158"/>
      <c r="AO31" s="169"/>
      <c r="AP31" s="169"/>
      <c r="AQ31" s="169"/>
      <c r="AR31" s="169"/>
      <c r="AS31" s="169"/>
      <c r="AT31" s="169"/>
    </row>
    <row r="32" spans="20:32" ht="12.75" customHeight="1">
      <c r="T32" s="158"/>
      <c r="AF32" s="158"/>
    </row>
    <row r="33" spans="20:32" ht="12.75" customHeight="1">
      <c r="T33" s="158"/>
      <c r="AF33" s="158"/>
    </row>
    <row r="34" spans="20:32" ht="102" customHeight="1">
      <c r="T34" s="158"/>
      <c r="AF34" s="158"/>
    </row>
    <row r="35" spans="20:32" ht="144.75" customHeight="1">
      <c r="T35" s="158"/>
      <c r="AF35" s="158"/>
    </row>
    <row r="36" spans="20:32" ht="12.75">
      <c r="T36" s="158"/>
      <c r="AF36" s="158"/>
    </row>
    <row r="37" spans="3:32" ht="12.75">
      <c r="C37" s="171" t="s">
        <v>135</v>
      </c>
      <c r="T37" s="158"/>
      <c r="AF37" s="158"/>
    </row>
    <row r="38" spans="3:32" ht="12.75">
      <c r="C38" s="158" t="s">
        <v>136</v>
      </c>
      <c r="T38" s="158"/>
      <c r="AF38" s="158"/>
    </row>
    <row r="39" spans="3:32" ht="12.75">
      <c r="C39" s="158" t="s">
        <v>137</v>
      </c>
      <c r="T39" s="158"/>
      <c r="AF39" s="158"/>
    </row>
    <row r="40" spans="3:32" ht="12.75">
      <c r="C40" s="158" t="s">
        <v>138</v>
      </c>
      <c r="D40" s="158"/>
      <c r="E40" s="158"/>
      <c r="T40" s="158"/>
      <c r="AF40" s="158"/>
    </row>
    <row r="41" spans="3:32" ht="12.75">
      <c r="C41" s="158" t="s">
        <v>139</v>
      </c>
      <c r="T41" s="158"/>
      <c r="AF41" s="158"/>
    </row>
    <row r="42" spans="3:32" ht="12.75">
      <c r="C42" s="158" t="s">
        <v>140</v>
      </c>
      <c r="T42" s="158"/>
      <c r="AF42" s="158"/>
    </row>
    <row r="43" spans="20:32" ht="12.75">
      <c r="T43" s="158"/>
      <c r="AF43" s="158"/>
    </row>
    <row r="44" spans="20:32" ht="12.75">
      <c r="T44" s="158"/>
      <c r="AF44" s="158"/>
    </row>
    <row r="45" spans="20:32" ht="12.75">
      <c r="T45" s="158"/>
      <c r="AF45" s="158"/>
    </row>
  </sheetData>
  <sheetProtection sheet="1" objects="1" scenarios="1"/>
  <conditionalFormatting sqref="T6:Z13 AF6:AL13">
    <cfRule type="cellIs" priority="1" dxfId="0" operator="greaterThan" stopIfTrue="1">
      <formula>$H$6+0.5</formula>
    </cfRule>
  </conditionalFormatting>
  <conditionalFormatting sqref="T14:Z21 AF14:AL21">
    <cfRule type="cellIs" priority="2" dxfId="0" operator="greaterThan" stopIfTrue="1">
      <formula>$I$6+0.5</formula>
    </cfRule>
  </conditionalFormatting>
  <conditionalFormatting sqref="T22:Z29 AF22:AL29">
    <cfRule type="cellIs" priority="3" dxfId="0" operator="greaterThan" stopIfTrue="1">
      <formula>$J$6+0.5</formula>
    </cfRule>
  </conditionalFormatting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Y36"/>
  <sheetViews>
    <sheetView tabSelected="1" workbookViewId="0" topLeftCell="A1">
      <pane xSplit="6" topLeftCell="G1" activePane="topRight" state="frozen"/>
      <selection pane="topLeft" activeCell="C3" sqref="C3"/>
      <selection pane="topRight" activeCell="C3" sqref="C3"/>
    </sheetView>
  </sheetViews>
  <sheetFormatPr defaultColWidth="9.140625" defaultRowHeight="13.5" customHeight="1"/>
  <cols>
    <col min="1" max="1" width="2.140625" style="1" customWidth="1"/>
    <col min="2" max="2" width="7.28125" style="1" bestFit="1" customWidth="1"/>
    <col min="3" max="3" width="6.140625" style="1" bestFit="1" customWidth="1"/>
    <col min="4" max="4" width="5.00390625" style="1" bestFit="1" customWidth="1"/>
    <col min="5" max="6" width="2.140625" style="1" customWidth="1"/>
    <col min="7" max="9" width="37.28125" style="1" customWidth="1"/>
    <col min="10" max="10" width="2.7109375" style="1" customWidth="1"/>
    <col min="11" max="11" width="15.00390625" style="1" hidden="1" customWidth="1"/>
    <col min="12" max="12" width="7.8515625" style="1" hidden="1" customWidth="1"/>
    <col min="13" max="13" width="6.00390625" style="11" hidden="1" customWidth="1"/>
    <col min="14" max="14" width="7.00390625" style="1" hidden="1" customWidth="1"/>
    <col min="15" max="15" width="0.13671875" style="1" hidden="1" customWidth="1"/>
    <col min="16" max="16" width="9.28125" style="11" hidden="1" customWidth="1"/>
    <col min="17" max="17" width="6.140625" style="1" hidden="1" customWidth="1"/>
    <col min="18" max="18" width="0.13671875" style="1" hidden="1" customWidth="1"/>
    <col min="19" max="19" width="6.28125" style="1" hidden="1" customWidth="1"/>
    <col min="20" max="20" width="4.140625" style="5" hidden="1" customWidth="1"/>
    <col min="21" max="22" width="5.140625" style="5" hidden="1" customWidth="1"/>
    <col min="23" max="23" width="4.140625" style="5" hidden="1" customWidth="1"/>
    <col min="24" max="25" width="4.28125" style="5" hidden="1" customWidth="1"/>
    <col min="26" max="26" width="4.140625" style="5" hidden="1" customWidth="1"/>
    <col min="27" max="27" width="6.140625" style="5" hidden="1" customWidth="1"/>
    <col min="28" max="28" width="7.00390625" style="5" hidden="1" customWidth="1"/>
    <col min="29" max="29" width="4.28125" style="5" hidden="1" customWidth="1"/>
    <col min="30" max="30" width="4.421875" style="5" hidden="1" customWidth="1"/>
    <col min="31" max="32" width="4.00390625" style="5" hidden="1" customWidth="1"/>
    <col min="33" max="33" width="4.57421875" style="5" hidden="1" customWidth="1"/>
    <col min="34" max="34" width="3.00390625" style="5" hidden="1" customWidth="1"/>
    <col min="35" max="35" width="2.140625" style="5" bestFit="1" customWidth="1"/>
    <col min="36" max="36" width="6.28125" style="1" customWidth="1"/>
    <col min="37" max="41" width="6.28125" style="5" customWidth="1"/>
    <col min="42" max="42" width="2.7109375" style="1" customWidth="1"/>
    <col min="43" max="43" width="5.7109375" style="1" bestFit="1" customWidth="1"/>
    <col min="44" max="44" width="5.140625" style="1" customWidth="1"/>
    <col min="45" max="45" width="5.57421875" style="1" bestFit="1" customWidth="1"/>
    <col min="46" max="51" width="5.140625" style="1" customWidth="1"/>
    <col min="52" max="16384" width="9.140625" style="1" customWidth="1"/>
  </cols>
  <sheetData>
    <row r="1" spans="1:51" s="8" customFormat="1" ht="13.5" customHeight="1">
      <c r="A1" s="1"/>
      <c r="C1" s="178" t="s">
        <v>169</v>
      </c>
      <c r="D1" s="1"/>
      <c r="E1" s="1"/>
      <c r="F1" s="1"/>
      <c r="G1" s="1"/>
      <c r="H1" s="1"/>
      <c r="I1" s="1"/>
      <c r="M1" s="10"/>
      <c r="P1" s="10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1"/>
      <c r="AK1" s="5"/>
      <c r="AL1" s="5"/>
      <c r="AO1" s="5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s="10" customFormat="1" ht="13.5" customHeight="1" thickBot="1">
      <c r="A2" s="8"/>
      <c r="B2" s="10" t="s">
        <v>212</v>
      </c>
      <c r="C2" s="8"/>
      <c r="D2" s="8"/>
      <c r="E2" s="8"/>
      <c r="F2" s="8"/>
      <c r="G2" s="10" t="s">
        <v>170</v>
      </c>
      <c r="I2" s="11" t="s">
        <v>202</v>
      </c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0" t="s">
        <v>203</v>
      </c>
      <c r="AP2" s="11"/>
      <c r="AQ2" s="10" t="s">
        <v>81</v>
      </c>
      <c r="AR2" s="11"/>
      <c r="AS2" s="11"/>
      <c r="AT2" s="11"/>
      <c r="AU2" s="11"/>
      <c r="AV2" s="11"/>
      <c r="AW2" s="11"/>
      <c r="AX2" s="11"/>
      <c r="AY2" s="11"/>
    </row>
    <row r="3" spans="1:51" ht="13.5" customHeight="1" thickBot="1">
      <c r="A3" s="10"/>
      <c r="B3" s="55" t="s">
        <v>24</v>
      </c>
      <c r="C3" s="84">
        <v>10</v>
      </c>
      <c r="D3" s="85" t="s">
        <v>60</v>
      </c>
      <c r="E3" s="66"/>
      <c r="F3" s="10"/>
      <c r="G3" s="7"/>
      <c r="H3" s="7"/>
      <c r="I3" s="7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I3" s="16"/>
      <c r="AJ3" s="80" t="s">
        <v>40</v>
      </c>
      <c r="AK3" s="17" t="s">
        <v>78</v>
      </c>
      <c r="AL3" s="17" t="s">
        <v>42</v>
      </c>
      <c r="AM3" s="17" t="s">
        <v>69</v>
      </c>
      <c r="AN3" s="17" t="s">
        <v>71</v>
      </c>
      <c r="AO3" s="18" t="s">
        <v>70</v>
      </c>
      <c r="AQ3" s="19"/>
      <c r="AR3" s="20" t="s">
        <v>17</v>
      </c>
      <c r="AS3" s="21" t="s">
        <v>18</v>
      </c>
      <c r="AT3" s="22" t="s">
        <v>19</v>
      </c>
      <c r="AU3" s="22" t="s">
        <v>20</v>
      </c>
      <c r="AV3" s="20" t="s">
        <v>21</v>
      </c>
      <c r="AW3" s="21" t="s">
        <v>22</v>
      </c>
      <c r="AX3" s="23" t="s">
        <v>38</v>
      </c>
      <c r="AY3" s="24" t="s">
        <v>39</v>
      </c>
    </row>
    <row r="4" spans="2:51" ht="13.5" customHeight="1" thickBot="1">
      <c r="B4" s="56" t="s">
        <v>25</v>
      </c>
      <c r="C4" s="57">
        <f>N4/10-10</f>
        <v>0</v>
      </c>
      <c r="D4" s="57" t="s">
        <v>60</v>
      </c>
      <c r="E4" s="58"/>
      <c r="F4" s="7"/>
      <c r="G4" s="7"/>
      <c r="H4" s="7"/>
      <c r="I4" s="7"/>
      <c r="K4" s="10" t="s">
        <v>198</v>
      </c>
      <c r="M4" s="11" t="s">
        <v>54</v>
      </c>
      <c r="N4" s="2">
        <v>100</v>
      </c>
      <c r="P4" s="11" t="s">
        <v>45</v>
      </c>
      <c r="Q4" s="1">
        <v>0</v>
      </c>
      <c r="S4" s="11" t="s">
        <v>40</v>
      </c>
      <c r="T4" s="83" t="s">
        <v>41</v>
      </c>
      <c r="U4" s="83" t="s">
        <v>10</v>
      </c>
      <c r="V4" s="83" t="s">
        <v>11</v>
      </c>
      <c r="W4" s="83" t="s">
        <v>30</v>
      </c>
      <c r="X4" s="83" t="s">
        <v>44</v>
      </c>
      <c r="Y4" s="83" t="s">
        <v>43</v>
      </c>
      <c r="Z4" s="83" t="s">
        <v>42</v>
      </c>
      <c r="AA4" s="83" t="s">
        <v>78</v>
      </c>
      <c r="AB4" s="83" t="s">
        <v>79</v>
      </c>
      <c r="AC4" s="83" t="s">
        <v>67</v>
      </c>
      <c r="AD4" s="83" t="s">
        <v>66</v>
      </c>
      <c r="AE4" s="83" t="s">
        <v>69</v>
      </c>
      <c r="AF4" s="83" t="s">
        <v>71</v>
      </c>
      <c r="AG4" s="83" t="s">
        <v>70</v>
      </c>
      <c r="AH4" s="4"/>
      <c r="AI4" s="156"/>
      <c r="AJ4" s="157"/>
      <c r="AK4" s="28" t="s">
        <v>60</v>
      </c>
      <c r="AL4" s="28" t="s">
        <v>61</v>
      </c>
      <c r="AM4" s="28" t="s">
        <v>63</v>
      </c>
      <c r="AN4" s="28" t="s">
        <v>64</v>
      </c>
      <c r="AO4" s="29" t="s">
        <v>63</v>
      </c>
      <c r="AQ4" s="30" t="s">
        <v>33</v>
      </c>
      <c r="AR4" s="31">
        <f>$Q$6</f>
        <v>10</v>
      </c>
      <c r="AS4" s="32">
        <f>$Q$7</f>
        <v>0</v>
      </c>
      <c r="AT4" s="33">
        <f>$Q$6</f>
        <v>10</v>
      </c>
      <c r="AU4" s="33">
        <f>$Q$7</f>
        <v>0</v>
      </c>
      <c r="AV4" s="31">
        <f>$Q$6</f>
        <v>10</v>
      </c>
      <c r="AW4" s="32">
        <f>$Q$7</f>
        <v>0</v>
      </c>
      <c r="AX4" s="33">
        <f>$Q$6</f>
        <v>10</v>
      </c>
      <c r="AY4" s="32">
        <f>$Q$7</f>
        <v>0</v>
      </c>
    </row>
    <row r="5" spans="2:51" ht="13.5" customHeight="1">
      <c r="B5" s="56" t="s">
        <v>26</v>
      </c>
      <c r="C5" s="57">
        <f>N5/10-10</f>
        <v>0</v>
      </c>
      <c r="D5" s="57" t="s">
        <v>60</v>
      </c>
      <c r="E5" s="58"/>
      <c r="F5" s="7"/>
      <c r="G5" s="7"/>
      <c r="H5" s="7"/>
      <c r="I5" s="7"/>
      <c r="K5" s="147">
        <v>1</v>
      </c>
      <c r="M5" s="11" t="s">
        <v>55</v>
      </c>
      <c r="N5" s="2">
        <v>100</v>
      </c>
      <c r="P5" s="11" t="s">
        <v>46</v>
      </c>
      <c r="Q5" s="1">
        <v>0</v>
      </c>
      <c r="S5" s="3">
        <f>$C$20/100</f>
        <v>-0.3</v>
      </c>
      <c r="T5" s="5">
        <f aca="true" t="shared" si="0" ref="T5:T26">$Q$21+IF($S5&gt;0,$Q$22-$Q$21,$Q$21-$Q$23)*$S5</f>
        <v>-1.2247826928494763</v>
      </c>
      <c r="U5" s="5">
        <f aca="true" t="shared" si="1" ref="U5:U26">$Q$6+$Q$20*COS($T5)-$Q$4</f>
        <v>11.090215563279319</v>
      </c>
      <c r="V5" s="5">
        <f aca="true" t="shared" si="2" ref="V5:V26">$Q$7+$Q$20*SIN($T5)-$Q$5</f>
        <v>-3.0240295016626324</v>
      </c>
      <c r="W5" s="5">
        <f aca="true" t="shared" si="3" ref="W5:W26">(U5^2+V5^2+$Q$16^2-$Q$24^2)/(2*$Q$16)</f>
        <v>4.842805991095288</v>
      </c>
      <c r="X5" s="5">
        <f aca="true" t="shared" si="4" ref="X5:X26">IF($W5+$U5=0,PI(),2*ATAN(($V5+SQRT($V5^2-$W5^2+$U5^2))/($W5+$U5)))</f>
        <v>0.8697224371363935</v>
      </c>
      <c r="Y5" s="5">
        <f aca="true" t="shared" si="5" ref="Y5:Y26">IF($W5+$U5=0,PI(),2*ATAN(($V5-SQRT($V5^2-$W5^2+$U5^2))/($W5+$U5)))</f>
        <v>-1.4021300612062744</v>
      </c>
      <c r="Z5" s="5">
        <f aca="true" t="shared" si="6" ref="Z5:Z26">IF(AND(ROUND(SIN($X$6),3)=ROUND(SIN($Q$18),3),ROUND(COS($X$6),3)=ROUND(COS($Q$18),3)),X5,Y5)</f>
        <v>-1.4021300612062744</v>
      </c>
      <c r="AA5" s="5">
        <f aca="true" t="shared" si="7" ref="AA5:AA26">$N$23*SIN($Z5-$Q$17+$N$17)</f>
        <v>-3.021618431933674</v>
      </c>
      <c r="AB5" s="5">
        <f aca="true" t="shared" si="8" ref="AB5:AB26">ASIN(SIN($N$20*($Z5-$Q$17+$N$17-$N$18)))</f>
        <v>-0.1686662655886222</v>
      </c>
      <c r="AC5" s="5">
        <f aca="true" t="shared" si="9" ref="AC5:AC26">ACOS(($Q$24^2+$Q$20^2-($Q$4+$Q$16*COS($Z5)-$Q$6)^2-($Q$5+$Q$16*SIN($Z5)-$Q$7)^2)/(2*$Q$20*$Q$24))</f>
        <v>1.4085260837170992</v>
      </c>
      <c r="AD5" s="5">
        <f aca="true" t="shared" si="10" ref="AD5:AD26">ACOS(($Q$24^2+$Q$16^2-($Q$6+$Q$20*COS($T5)-$Q$4)^2-($Q$7+$Q$20*SIN($T5)-$Q$5)^2)/(2*$Q$16*$Q$24))</f>
        <v>1.555719201515896</v>
      </c>
      <c r="AE5" s="4">
        <f aca="true" t="shared" si="11" ref="AE5:AE26">0.0000085*$C$16^2*$C$17^2*$C$18*ABS(SIN(AB5))</f>
        <v>79.28575684472364</v>
      </c>
      <c r="AF5" s="4">
        <f aca="true" t="shared" si="12" ref="AF5:AF26">AE5/($Q$16*SIN(AD5))</f>
        <v>15.858953861169146</v>
      </c>
      <c r="AG5" s="4">
        <f aca="true" t="shared" si="13" ref="AG5:AG26">AF5*$Q$20*SIN(AC5)</f>
        <v>50.309668456155954</v>
      </c>
      <c r="AH5" s="4"/>
      <c r="AI5" s="151" t="str">
        <f aca="true" t="shared" si="14" ref="AI5:AI26">IF($K$5&gt;0,IF(S5&lt;0,"-",IF(S5&gt;0,"+","")),"")</f>
        <v>-</v>
      </c>
      <c r="AJ5" s="152">
        <f aca="true" t="shared" si="15" ref="AJ5:AJ26">IF($K$5&gt;0,ABS(S5),S5)</f>
        <v>0.3</v>
      </c>
      <c r="AK5" s="153">
        <f aca="true" t="shared" si="16" ref="AK5:AK26">IF($K$5&gt;0,ABS(AA5),AA5)</f>
        <v>3.021618431933674</v>
      </c>
      <c r="AL5" s="153">
        <f aca="true" t="shared" si="17" ref="AL5:AL26">IF($K$5&gt;0,ABS(DEGREES(ASIN(SIN($N$20*($Z5-$Q$17+$N$17))))),DEGREES(ASIN(SIN($N$20*($Z5-$Q$17+$N$17)))))</f>
        <v>9.663865164460681</v>
      </c>
      <c r="AM5" s="154">
        <f aca="true" t="shared" si="18" ref="AM5:AM26">AE5</f>
        <v>79.28575684472364</v>
      </c>
      <c r="AN5" s="153">
        <f aca="true" t="shared" si="19" ref="AN5:AN26">AF5/16</f>
        <v>0.9911846163230716</v>
      </c>
      <c r="AO5" s="155">
        <f aca="true" t="shared" si="20" ref="AO5:AO26">AG5</f>
        <v>50.309668456155954</v>
      </c>
      <c r="AQ5" s="30" t="s">
        <v>34</v>
      </c>
      <c r="AR5" s="31">
        <f>$AR$4+$Q$20*COS($Q$21)</f>
        <v>10.270390940811604</v>
      </c>
      <c r="AS5" s="32">
        <f>$AS$4+$Q$20*SIN($Q$21)</f>
        <v>-3.203156746159858</v>
      </c>
      <c r="AT5" s="33">
        <f>$AR$4+$Q$20*COS($Q$22)</f>
        <v>7.72004352069036</v>
      </c>
      <c r="AU5" s="33">
        <f>$AS$4+$Q$20*SIN($Q$22)</f>
        <v>-2.26608094599385</v>
      </c>
      <c r="AV5" s="31">
        <f>$AR$4+$Q$20*COS($Q$23)</f>
        <v>12.627564372360013</v>
      </c>
      <c r="AW5" s="32">
        <f>$AS$4+$Q$20*SIN($Q$23)</f>
        <v>-1.851817990636966</v>
      </c>
      <c r="AX5" s="33">
        <f>$Q$6+$Q$20*COS($T$5)</f>
        <v>11.090215563279319</v>
      </c>
      <c r="AY5" s="32">
        <f>$Q$7+$Q$20*SIN($T$5)</f>
        <v>-3.0240295016626324</v>
      </c>
    </row>
    <row r="6" spans="2:51" ht="13.5" customHeight="1" thickBot="1">
      <c r="B6" s="59" t="s">
        <v>27</v>
      </c>
      <c r="C6" s="87">
        <f>N6/10-10</f>
        <v>-5</v>
      </c>
      <c r="D6" s="87" t="s">
        <v>60</v>
      </c>
      <c r="E6" s="88"/>
      <c r="F6" s="7"/>
      <c r="G6" s="7"/>
      <c r="H6" s="7"/>
      <c r="I6" s="7"/>
      <c r="M6" s="11" t="s">
        <v>56</v>
      </c>
      <c r="N6" s="2">
        <v>50</v>
      </c>
      <c r="P6" s="11" t="s">
        <v>48</v>
      </c>
      <c r="Q6" s="1">
        <f>Q4-$N$11</f>
        <v>10</v>
      </c>
      <c r="S6" s="3">
        <v>1</v>
      </c>
      <c r="T6" s="5">
        <f t="shared" si="0"/>
        <v>-2.3592467066457905</v>
      </c>
      <c r="U6" s="5">
        <f t="shared" si="1"/>
        <v>7.72004352069036</v>
      </c>
      <c r="V6" s="5">
        <f t="shared" si="2"/>
        <v>-2.26608094599385</v>
      </c>
      <c r="W6" s="5">
        <f t="shared" si="3"/>
        <v>-1.8975380940826299</v>
      </c>
      <c r="X6" s="5">
        <f t="shared" si="4"/>
        <v>1.5233701581774837</v>
      </c>
      <c r="Y6" s="5">
        <f t="shared" si="5"/>
        <v>-2.094395102393195</v>
      </c>
      <c r="Z6" s="5">
        <f t="shared" si="6"/>
        <v>-2.094395102393195</v>
      </c>
      <c r="AA6" s="5">
        <f t="shared" si="7"/>
        <v>8.99999999999999</v>
      </c>
      <c r="AB6" s="5">
        <f t="shared" si="8"/>
        <v>0.5235987755982981</v>
      </c>
      <c r="AC6" s="5">
        <f t="shared" si="9"/>
        <v>2.5585267414874644</v>
      </c>
      <c r="AD6" s="5">
        <f t="shared" si="10"/>
        <v>0.847917516354923</v>
      </c>
      <c r="AE6" s="4">
        <f t="shared" si="11"/>
        <v>236.1554999999997</v>
      </c>
      <c r="AF6" s="4">
        <f t="shared" si="12"/>
        <v>62.9828304810437</v>
      </c>
      <c r="AG6" s="4">
        <f t="shared" si="13"/>
        <v>111.47238009555812</v>
      </c>
      <c r="AH6" s="4"/>
      <c r="AI6" s="34" t="str">
        <f t="shared" si="14"/>
        <v>+</v>
      </c>
      <c r="AJ6" s="81">
        <f t="shared" si="15"/>
        <v>1</v>
      </c>
      <c r="AK6" s="35">
        <f t="shared" si="16"/>
        <v>8.99999999999999</v>
      </c>
      <c r="AL6" s="35">
        <f t="shared" si="17"/>
        <v>29.99999999999996</v>
      </c>
      <c r="AM6" s="36">
        <f t="shared" si="18"/>
        <v>236.1554999999997</v>
      </c>
      <c r="AN6" s="35">
        <f t="shared" si="19"/>
        <v>3.936426905065231</v>
      </c>
      <c r="AO6" s="37">
        <f t="shared" si="20"/>
        <v>111.47238009555812</v>
      </c>
      <c r="AQ6" s="30" t="s">
        <v>32</v>
      </c>
      <c r="AR6" s="31">
        <f>$Q$4+$Q$16*COS($Q$17)</f>
        <v>3.06287113727155E-16</v>
      </c>
      <c r="AS6" s="32">
        <f>$Q$5+$Q$16*SIN($Q$17)</f>
        <v>-5</v>
      </c>
      <c r="AT6" s="33">
        <f>$Q$4+$Q$16*COS($Q$18)</f>
        <v>-2.499999999999999</v>
      </c>
      <c r="AU6" s="33">
        <f>$Q$5+$Q$16*SIN($Q$18)</f>
        <v>-4.330127018922194</v>
      </c>
      <c r="AV6" s="31">
        <f>$Q$4+$Q$16*COS($Q$19)</f>
        <v>2.4999999999999996</v>
      </c>
      <c r="AW6" s="32">
        <f>$Q$5+$Q$16*SIN($Q$19)</f>
        <v>-4.330127018922194</v>
      </c>
      <c r="AX6" s="33">
        <f>Q$4+$Q$16*COS($Z$5)</f>
        <v>0.8393384533149096</v>
      </c>
      <c r="AY6" s="32">
        <f>$Q$5+$Q$16*SIN(Z$5)</f>
        <v>-4.929047672805258</v>
      </c>
    </row>
    <row r="7" spans="6:51" ht="13.5" customHeight="1" thickBot="1">
      <c r="F7" s="7"/>
      <c r="G7" s="7"/>
      <c r="H7" s="7"/>
      <c r="I7" s="7"/>
      <c r="K7" s="11"/>
      <c r="M7" s="11" t="s">
        <v>57</v>
      </c>
      <c r="N7" s="2">
        <v>90</v>
      </c>
      <c r="P7" s="11" t="s">
        <v>47</v>
      </c>
      <c r="Q7" s="1">
        <f>Q5+C4</f>
        <v>0</v>
      </c>
      <c r="S7" s="3">
        <v>0.9</v>
      </c>
      <c r="T7" s="5">
        <f t="shared" si="0"/>
        <v>-2.271980244046074</v>
      </c>
      <c r="U7" s="5">
        <f t="shared" si="1"/>
        <v>7.926221411406223</v>
      </c>
      <c r="V7" s="5">
        <f t="shared" si="2"/>
        <v>-2.4561691242323676</v>
      </c>
      <c r="W7" s="5">
        <f t="shared" si="3"/>
        <v>-1.4851823126509018</v>
      </c>
      <c r="X7" s="5">
        <f t="shared" si="4"/>
        <v>1.4502502305672098</v>
      </c>
      <c r="Y7" s="5">
        <f t="shared" si="5"/>
        <v>-2.051240678906943</v>
      </c>
      <c r="Z7" s="5">
        <f t="shared" si="6"/>
        <v>-2.051240678906943</v>
      </c>
      <c r="AA7" s="5">
        <f t="shared" si="7"/>
        <v>8.319118824125152</v>
      </c>
      <c r="AB7" s="5">
        <f t="shared" si="8"/>
        <v>0.48044435211204645</v>
      </c>
      <c r="AC7" s="5">
        <f t="shared" si="9"/>
        <v>2.462826401103747</v>
      </c>
      <c r="AD7" s="5">
        <f t="shared" si="10"/>
        <v>0.899505817625176</v>
      </c>
      <c r="AE7" s="4">
        <f t="shared" si="11"/>
        <v>218.28951838563188</v>
      </c>
      <c r="AF7" s="4">
        <f t="shared" si="12"/>
        <v>55.75582305545736</v>
      </c>
      <c r="AG7" s="4">
        <f t="shared" si="13"/>
        <v>112.52643307277849</v>
      </c>
      <c r="AH7" s="4"/>
      <c r="AI7" s="34" t="str">
        <f t="shared" si="14"/>
        <v>+</v>
      </c>
      <c r="AJ7" s="81">
        <f t="shared" si="15"/>
        <v>0.9</v>
      </c>
      <c r="AK7" s="35">
        <f t="shared" si="16"/>
        <v>8.319118824125152</v>
      </c>
      <c r="AL7" s="35">
        <f t="shared" si="17"/>
        <v>27.5274336669175</v>
      </c>
      <c r="AM7" s="36">
        <f t="shared" si="18"/>
        <v>218.28951838563188</v>
      </c>
      <c r="AN7" s="35">
        <f t="shared" si="19"/>
        <v>3.484738940966085</v>
      </c>
      <c r="AO7" s="37">
        <f t="shared" si="20"/>
        <v>112.52643307277849</v>
      </c>
      <c r="AQ7" s="30" t="s">
        <v>37</v>
      </c>
      <c r="AR7" s="31">
        <f>$Q$4+$N$12*COS($N$17)</f>
        <v>0</v>
      </c>
      <c r="AS7" s="32">
        <f>$Q$5+$N$12*SIN($N$17)</f>
        <v>0</v>
      </c>
      <c r="AT7" s="33">
        <f>$Q$4+$N$12*COS($N$17+$N$13)</f>
        <v>0</v>
      </c>
      <c r="AU7" s="33">
        <f>$Q$5+$N$12*SIN($N$17+$N$13)</f>
        <v>0</v>
      </c>
      <c r="AV7" s="31">
        <f>$Q$4+$N$12*COS($N$17+$N$14)</f>
        <v>0</v>
      </c>
      <c r="AW7" s="32">
        <f>$Q$5+$N$12*SIN($N$17+$N$14)</f>
        <v>0</v>
      </c>
      <c r="AX7" s="33">
        <f>$Q$4+$N$12*COS($N$17+$Z$5-$Q$17)</f>
        <v>0</v>
      </c>
      <c r="AY7" s="32">
        <f>$Q$5+$N$12*SIN($N$17+$Z$5-$Q$17)</f>
        <v>0</v>
      </c>
    </row>
    <row r="8" spans="2:51" ht="13.5" customHeight="1">
      <c r="B8" s="55" t="s">
        <v>2</v>
      </c>
      <c r="C8" s="84">
        <v>50</v>
      </c>
      <c r="D8" s="85" t="s">
        <v>61</v>
      </c>
      <c r="E8" s="66"/>
      <c r="F8" s="7"/>
      <c r="G8" s="7"/>
      <c r="H8" s="7"/>
      <c r="I8" s="7"/>
      <c r="M8" s="11" t="s">
        <v>58</v>
      </c>
      <c r="N8" s="2">
        <v>20</v>
      </c>
      <c r="S8" s="3">
        <v>0.8</v>
      </c>
      <c r="T8" s="5">
        <f t="shared" si="0"/>
        <v>-2.1847137814463577</v>
      </c>
      <c r="U8" s="5">
        <f t="shared" si="1"/>
        <v>8.148182009363033</v>
      </c>
      <c r="V8" s="5">
        <f t="shared" si="2"/>
        <v>-2.6275643723600113</v>
      </c>
      <c r="W8" s="5">
        <f t="shared" si="3"/>
        <v>-1.0412611167372816</v>
      </c>
      <c r="X8" s="5">
        <f t="shared" si="4"/>
        <v>1.3807773130919434</v>
      </c>
      <c r="Y8" s="5">
        <f t="shared" si="5"/>
        <v>-2.0046655894917165</v>
      </c>
      <c r="Z8" s="5">
        <f t="shared" si="6"/>
        <v>-2.0046655894917165</v>
      </c>
      <c r="AA8" s="5">
        <f t="shared" si="7"/>
        <v>7.5669246071737515</v>
      </c>
      <c r="AB8" s="5">
        <f t="shared" si="8"/>
        <v>0.4338692626968199</v>
      </c>
      <c r="AC8" s="5">
        <f t="shared" si="9"/>
        <v>2.3688617666766616</v>
      </c>
      <c r="AD8" s="5">
        <f t="shared" si="10"/>
        <v>0.9527790788677719</v>
      </c>
      <c r="AE8" s="4">
        <f t="shared" si="11"/>
        <v>198.55231822993565</v>
      </c>
      <c r="AF8" s="4">
        <f t="shared" si="12"/>
        <v>48.722767270403935</v>
      </c>
      <c r="AG8" s="4">
        <f t="shared" si="13"/>
        <v>109.3365508594359</v>
      </c>
      <c r="AH8" s="4"/>
      <c r="AI8" s="34" t="str">
        <f t="shared" si="14"/>
        <v>+</v>
      </c>
      <c r="AJ8" s="81">
        <f t="shared" si="15"/>
        <v>0.8</v>
      </c>
      <c r="AK8" s="35">
        <f t="shared" si="16"/>
        <v>7.5669246071737515</v>
      </c>
      <c r="AL8" s="35">
        <f t="shared" si="17"/>
        <v>24.85887761298059</v>
      </c>
      <c r="AM8" s="36">
        <f t="shared" si="18"/>
        <v>198.55231822993565</v>
      </c>
      <c r="AN8" s="35">
        <f t="shared" si="19"/>
        <v>3.045172954400246</v>
      </c>
      <c r="AO8" s="37">
        <f t="shared" si="20"/>
        <v>109.3365508594359</v>
      </c>
      <c r="AQ8" s="30" t="s">
        <v>36</v>
      </c>
      <c r="AR8" s="31">
        <f>$Q$4-1*$N$23</f>
        <v>18</v>
      </c>
      <c r="AS8" s="32">
        <f>$Q$5</f>
        <v>0</v>
      </c>
      <c r="AT8" s="33">
        <f>$Q$4-1*$N$23</f>
        <v>18</v>
      </c>
      <c r="AU8" s="33">
        <f>$Q$5</f>
        <v>0</v>
      </c>
      <c r="AV8" s="31">
        <f>$Q$4-1*$N$23</f>
        <v>18</v>
      </c>
      <c r="AW8" s="32">
        <f>$Q$5</f>
        <v>0</v>
      </c>
      <c r="AX8" s="33">
        <f>$Q$4-1*$N$23</f>
        <v>18</v>
      </c>
      <c r="AY8" s="32">
        <f>$Q$5</f>
        <v>0</v>
      </c>
    </row>
    <row r="9" spans="2:51" ht="13.5" customHeight="1">
      <c r="B9" s="56" t="s">
        <v>3</v>
      </c>
      <c r="C9" s="60">
        <v>50</v>
      </c>
      <c r="D9" s="57" t="s">
        <v>61</v>
      </c>
      <c r="E9" s="58"/>
      <c r="F9" s="7"/>
      <c r="G9" s="7"/>
      <c r="H9" s="7"/>
      <c r="I9" s="7"/>
      <c r="M9" s="11" t="s">
        <v>59</v>
      </c>
      <c r="N9" s="2">
        <v>70</v>
      </c>
      <c r="P9" s="11" t="s">
        <v>8</v>
      </c>
      <c r="Q9" s="5">
        <f>(AR$4-AR$6)^2-(AR$4-AT$6)^2+(AS$4-AS$6)^2-(AS$4-AU$6)^2</f>
        <v>-50</v>
      </c>
      <c r="S9" s="3">
        <v>0.7</v>
      </c>
      <c r="T9" s="5">
        <f t="shared" si="0"/>
        <v>-2.097447318846641</v>
      </c>
      <c r="U9" s="5">
        <f t="shared" si="1"/>
        <v>8.384236060386867</v>
      </c>
      <c r="V9" s="5">
        <f t="shared" si="2"/>
        <v>-2.7789622690472493</v>
      </c>
      <c r="W9" s="5">
        <f t="shared" si="3"/>
        <v>-0.5691530146896155</v>
      </c>
      <c r="X9" s="5">
        <f t="shared" si="4"/>
        <v>1.3152220618339323</v>
      </c>
      <c r="Y9" s="5">
        <f t="shared" si="5"/>
        <v>-1.9553328107148231</v>
      </c>
      <c r="Z9" s="5">
        <f t="shared" si="6"/>
        <v>-1.9553328107148231</v>
      </c>
      <c r="AA9" s="5">
        <f t="shared" si="7"/>
        <v>6.752331187964051</v>
      </c>
      <c r="AB9" s="5">
        <f t="shared" si="8"/>
        <v>0.38453648391992656</v>
      </c>
      <c r="AC9" s="5">
        <f t="shared" si="9"/>
        <v>2.2764011952804237</v>
      </c>
      <c r="AD9" s="5">
        <f t="shared" si="10"/>
        <v>1.0073059664411856</v>
      </c>
      <c r="AE9" s="4">
        <f t="shared" si="11"/>
        <v>177.17779420658272</v>
      </c>
      <c r="AF9" s="4">
        <f t="shared" si="12"/>
        <v>41.91593298724588</v>
      </c>
      <c r="AG9" s="4">
        <f t="shared" si="13"/>
        <v>102.56732719955022</v>
      </c>
      <c r="AH9" s="4"/>
      <c r="AI9" s="34" t="str">
        <f t="shared" si="14"/>
        <v>+</v>
      </c>
      <c r="AJ9" s="81">
        <f t="shared" si="15"/>
        <v>0.7</v>
      </c>
      <c r="AK9" s="35">
        <f t="shared" si="16"/>
        <v>6.752331187964051</v>
      </c>
      <c r="AL9" s="35">
        <f t="shared" si="17"/>
        <v>22.03231759741204</v>
      </c>
      <c r="AM9" s="36">
        <f t="shared" si="18"/>
        <v>177.17779420658272</v>
      </c>
      <c r="AN9" s="35">
        <f t="shared" si="19"/>
        <v>2.6197458117028676</v>
      </c>
      <c r="AO9" s="37">
        <f t="shared" si="20"/>
        <v>102.56732719955022</v>
      </c>
      <c r="AQ9" s="30" t="s">
        <v>31</v>
      </c>
      <c r="AR9" s="31">
        <f>$Q$4</f>
        <v>0</v>
      </c>
      <c r="AS9" s="32">
        <f>$Q$5</f>
        <v>0</v>
      </c>
      <c r="AT9" s="33">
        <f>$Q$4</f>
        <v>0</v>
      </c>
      <c r="AU9" s="33">
        <f>$Q$5</f>
        <v>0</v>
      </c>
      <c r="AV9" s="31">
        <f>$Q$4</f>
        <v>0</v>
      </c>
      <c r="AW9" s="32">
        <f>$Q$5</f>
        <v>0</v>
      </c>
      <c r="AX9" s="33">
        <f>$Q$4</f>
        <v>0</v>
      </c>
      <c r="AY9" s="32">
        <f>$Q$5</f>
        <v>0</v>
      </c>
    </row>
    <row r="10" spans="2:51" ht="13.5" customHeight="1" thickBot="1">
      <c r="B10" s="56" t="s">
        <v>0</v>
      </c>
      <c r="C10" s="60">
        <v>30</v>
      </c>
      <c r="D10" s="57" t="s">
        <v>61</v>
      </c>
      <c r="E10" s="58"/>
      <c r="F10" s="7"/>
      <c r="G10" s="7"/>
      <c r="H10" s="7"/>
      <c r="I10" s="7"/>
      <c r="K10" s="11" t="s">
        <v>201</v>
      </c>
      <c r="P10" s="11" t="s">
        <v>9</v>
      </c>
      <c r="Q10" s="5">
        <f>(AR$4-AR$6)^2-(AR$4-AV$6)^2+(AS$4-AS$6)^2-(AS$4-AW$6)^2</f>
        <v>50</v>
      </c>
      <c r="S10" s="3">
        <v>0.6</v>
      </c>
      <c r="T10" s="5">
        <f t="shared" si="0"/>
        <v>-2.0101808562469246</v>
      </c>
      <c r="U10" s="5">
        <f t="shared" si="1"/>
        <v>8.632587050616095</v>
      </c>
      <c r="V10" s="5">
        <f t="shared" si="2"/>
        <v>-2.9092105848837417</v>
      </c>
      <c r="W10" s="5">
        <f t="shared" si="3"/>
        <v>-0.07245103423115751</v>
      </c>
      <c r="X10" s="5">
        <f t="shared" si="4"/>
        <v>1.2536997532983338</v>
      </c>
      <c r="Y10" s="5">
        <f t="shared" si="5"/>
        <v>-1.903799567434655</v>
      </c>
      <c r="Z10" s="5">
        <f t="shared" si="6"/>
        <v>-1.903799567434655</v>
      </c>
      <c r="AA10" s="5">
        <f t="shared" si="7"/>
        <v>5.883889600662021</v>
      </c>
      <c r="AB10" s="5">
        <f t="shared" si="8"/>
        <v>0.3330032406397585</v>
      </c>
      <c r="AC10" s="5">
        <f t="shared" si="9"/>
        <v>2.1852582727036163</v>
      </c>
      <c r="AD10" s="5">
        <f t="shared" si="10"/>
        <v>1.0627156696984463</v>
      </c>
      <c r="AE10" s="4">
        <f t="shared" si="11"/>
        <v>154.39032117657112</v>
      </c>
      <c r="AF10" s="4">
        <f t="shared" si="12"/>
        <v>35.34253789661178</v>
      </c>
      <c r="AG10" s="4">
        <f t="shared" si="13"/>
        <v>92.82914380660965</v>
      </c>
      <c r="AH10" s="4"/>
      <c r="AI10" s="34" t="str">
        <f t="shared" si="14"/>
        <v>+</v>
      </c>
      <c r="AJ10" s="81">
        <f t="shared" si="15"/>
        <v>0.6</v>
      </c>
      <c r="AK10" s="35">
        <f t="shared" si="16"/>
        <v>5.883889600662021</v>
      </c>
      <c r="AL10" s="35">
        <f t="shared" si="17"/>
        <v>19.0796802528375</v>
      </c>
      <c r="AM10" s="36">
        <f t="shared" si="18"/>
        <v>154.39032117657112</v>
      </c>
      <c r="AN10" s="35">
        <f t="shared" si="19"/>
        <v>2.2089086185382363</v>
      </c>
      <c r="AO10" s="37">
        <f t="shared" si="20"/>
        <v>92.82914380660965</v>
      </c>
      <c r="AQ10" s="30" t="s">
        <v>35</v>
      </c>
      <c r="AR10" s="31">
        <f>$Q$4+$N$23*COS($N$17)</f>
        <v>-18</v>
      </c>
      <c r="AS10" s="32">
        <f>$Q$5+$N$23*SIN($N$17)</f>
        <v>0</v>
      </c>
      <c r="AT10" s="33">
        <f>$Q$4+$N$23*COS($N$17+$N$13)</f>
        <v>-15.588457268119896</v>
      </c>
      <c r="AU10" s="33">
        <f>$Q$5+$N$23*SIN($N$17+$N$13)</f>
        <v>8.999999999999998</v>
      </c>
      <c r="AV10" s="31">
        <f>$Q$4+$N$23*COS($N$17+$N$14)</f>
        <v>-15.588457268119896</v>
      </c>
      <c r="AW10" s="32">
        <f>$Q$5+$N$23*SIN($N$17+$N$14)</f>
        <v>-8.999999999999998</v>
      </c>
      <c r="AX10" s="33">
        <f>$Q$4+$N$23*COS($N$17+$Z$5-$Q$17)</f>
        <v>-17.74457162209893</v>
      </c>
      <c r="AY10" s="32">
        <f>$Q$5+$N$23*SIN($N$17+$Z$5-$Q$17)</f>
        <v>-3.021618431933674</v>
      </c>
    </row>
    <row r="11" spans="2:51" ht="13.5" customHeight="1" thickBot="1">
      <c r="B11" s="59" t="s">
        <v>1</v>
      </c>
      <c r="C11" s="86">
        <v>30</v>
      </c>
      <c r="D11" s="87" t="s">
        <v>61</v>
      </c>
      <c r="E11" s="88"/>
      <c r="F11" s="7"/>
      <c r="G11" s="7"/>
      <c r="H11" s="7"/>
      <c r="I11" s="7"/>
      <c r="K11" s="1">
        <f>IF($K$5&gt;0,0.25,0.5)</f>
        <v>0.25</v>
      </c>
      <c r="M11" s="11" t="s">
        <v>24</v>
      </c>
      <c r="N11" s="1">
        <f>$N$20*C3</f>
        <v>-10</v>
      </c>
      <c r="P11" s="11" t="s">
        <v>10</v>
      </c>
      <c r="Q11" s="5">
        <f>Q$9*((AS$4-AW$6)*COS(N$16)-(AR$4-AV$6)*SIN(N$16)-(AS$4-AS$6))+Q$10*((AR$4-AT$6)*SIN(N$15)-(AS$4-AU$6)*COS(N$15)+(AS$4-AS$6))</f>
        <v>30.153689607045692</v>
      </c>
      <c r="S11" s="3">
        <v>0.5</v>
      </c>
      <c r="T11" s="5">
        <f t="shared" si="0"/>
        <v>-1.9229143936472082</v>
      </c>
      <c r="U11" s="5">
        <f t="shared" si="1"/>
        <v>8.891344879056648</v>
      </c>
      <c r="V11" s="5">
        <f t="shared" si="2"/>
        <v>-3.017318051539889</v>
      </c>
      <c r="W11" s="5">
        <f t="shared" si="3"/>
        <v>0.44506462264994867</v>
      </c>
      <c r="X11" s="5">
        <f t="shared" si="4"/>
        <v>1.196217845808485</v>
      </c>
      <c r="Y11" s="5">
        <f t="shared" si="5"/>
        <v>-1.8505374384056883</v>
      </c>
      <c r="Z11" s="5">
        <f t="shared" si="6"/>
        <v>-1.8505374384056883</v>
      </c>
      <c r="AA11" s="5">
        <f t="shared" si="7"/>
        <v>4.969922997805367</v>
      </c>
      <c r="AB11" s="5">
        <f t="shared" si="8"/>
        <v>0.27974111161079174</v>
      </c>
      <c r="AC11" s="5">
        <f t="shared" si="9"/>
        <v>2.0952850227773108</v>
      </c>
      <c r="AD11" s="5">
        <f t="shared" si="10"/>
        <v>1.1186845860540024</v>
      </c>
      <c r="AE11" s="4">
        <f t="shared" si="11"/>
        <v>130.4082945009139</v>
      </c>
      <c r="AF11" s="4">
        <f t="shared" si="12"/>
        <v>28.994873565042873</v>
      </c>
      <c r="AG11" s="4">
        <f t="shared" si="13"/>
        <v>80.67677231737545</v>
      </c>
      <c r="AH11" s="4"/>
      <c r="AI11" s="34" t="str">
        <f t="shared" si="14"/>
        <v>+</v>
      </c>
      <c r="AJ11" s="81">
        <f t="shared" si="15"/>
        <v>0.5</v>
      </c>
      <c r="AK11" s="35">
        <f t="shared" si="16"/>
        <v>4.969922997805367</v>
      </c>
      <c r="AL11" s="35">
        <f t="shared" si="17"/>
        <v>16.027985051596477</v>
      </c>
      <c r="AM11" s="36">
        <f t="shared" si="18"/>
        <v>130.4082945009139</v>
      </c>
      <c r="AN11" s="35">
        <f t="shared" si="19"/>
        <v>1.8121795978151796</v>
      </c>
      <c r="AO11" s="37">
        <f t="shared" si="20"/>
        <v>80.67677231737545</v>
      </c>
      <c r="AQ11" s="43" t="s">
        <v>50</v>
      </c>
      <c r="AR11" s="44">
        <f>IF($AV$12&gt;1,AX11*$AV$12,AX11)+SIGN(AX11)*AW12</f>
        <v>20</v>
      </c>
      <c r="AS11" s="45">
        <f>IF($AV$12&lt;1,AY11/$AV$12,AY11)+SIGN(AY11)</f>
        <v>9.999999999999998</v>
      </c>
      <c r="AT11" s="44" t="s">
        <v>82</v>
      </c>
      <c r="AU11" s="44"/>
      <c r="AV11" s="44">
        <f>AX11-AX12</f>
        <v>36</v>
      </c>
      <c r="AW11" s="44">
        <f>AY11-AY12</f>
        <v>17.999999999999996</v>
      </c>
      <c r="AX11" s="44">
        <f>MAX(AR4:AR10,AT4:AT10,AV4:AV10,AX4:AX10)</f>
        <v>18</v>
      </c>
      <c r="AY11" s="45">
        <f>MAX(AS4:AS10,AU4:AU10,AW4:AW10,AY4:AY10)</f>
        <v>8.999999999999998</v>
      </c>
    </row>
    <row r="12" spans="6:51" ht="13.5" customHeight="1" thickBot="1">
      <c r="F12" s="7"/>
      <c r="G12" s="7"/>
      <c r="H12" s="7"/>
      <c r="I12" s="7"/>
      <c r="M12" s="11" t="s">
        <v>26</v>
      </c>
      <c r="N12" s="1">
        <f>$N$20*C5</f>
        <v>0</v>
      </c>
      <c r="P12" s="11" t="s">
        <v>11</v>
      </c>
      <c r="Q12" s="5">
        <f>Q$9*(-(AS$4-AW$6)*SIN(N$16)-(AR$4-AV$6)*COS(N$16)+(AR$4-AR$6))+Q$10*((AR$4-AT$6)*COS(N$15)+(AS$4-AU$6)*SIN(N$15)-(AR$4-AR$6))</f>
        <v>-357.2123903134607</v>
      </c>
      <c r="S12" s="3">
        <v>0.4</v>
      </c>
      <c r="T12" s="5">
        <f t="shared" si="0"/>
        <v>-1.8356479310474916</v>
      </c>
      <c r="U12" s="5">
        <f t="shared" si="1"/>
        <v>9.158540242391847</v>
      </c>
      <c r="V12" s="5">
        <f t="shared" si="2"/>
        <v>-3.102461905917367</v>
      </c>
      <c r="W12" s="5">
        <f t="shared" si="3"/>
        <v>0.9794553493203452</v>
      </c>
      <c r="X12" s="5">
        <f t="shared" si="4"/>
        <v>1.142713460910714</v>
      </c>
      <c r="Y12" s="5">
        <f t="shared" si="5"/>
        <v>-1.7959499282971352</v>
      </c>
      <c r="Z12" s="5">
        <f t="shared" si="6"/>
        <v>-1.7959499282971352</v>
      </c>
      <c r="AA12" s="5">
        <f t="shared" si="7"/>
        <v>4.018609608092183</v>
      </c>
      <c r="AB12" s="5">
        <f t="shared" si="8"/>
        <v>0.22515360150223865</v>
      </c>
      <c r="AC12" s="5">
        <f t="shared" si="9"/>
        <v>2.006365790914775</v>
      </c>
      <c r="AD12" s="5">
        <f t="shared" si="10"/>
        <v>1.1749248654253743</v>
      </c>
      <c r="AE12" s="4">
        <f t="shared" si="11"/>
        <v>105.44630681153485</v>
      </c>
      <c r="AF12" s="4">
        <f t="shared" si="12"/>
        <v>22.857002050702892</v>
      </c>
      <c r="AG12" s="4">
        <f t="shared" si="13"/>
        <v>66.61458781832287</v>
      </c>
      <c r="AH12" s="4"/>
      <c r="AI12" s="34" t="str">
        <f t="shared" si="14"/>
        <v>+</v>
      </c>
      <c r="AJ12" s="81">
        <f t="shared" si="15"/>
        <v>0.4</v>
      </c>
      <c r="AK12" s="35">
        <f t="shared" si="16"/>
        <v>4.018609608092183</v>
      </c>
      <c r="AL12" s="35">
        <f t="shared" si="17"/>
        <v>12.900351108248666</v>
      </c>
      <c r="AM12" s="36">
        <f t="shared" si="18"/>
        <v>105.44630681153485</v>
      </c>
      <c r="AN12" s="35">
        <f t="shared" si="19"/>
        <v>1.4285626281689308</v>
      </c>
      <c r="AO12" s="37">
        <f t="shared" si="20"/>
        <v>66.61458781832287</v>
      </c>
      <c r="AQ12" s="42" t="s">
        <v>51</v>
      </c>
      <c r="AR12" s="46">
        <f>IF($AV$12&gt;1,AX12*$AV$12,AX12)+SIGN(AX12)*AW12</f>
        <v>-20</v>
      </c>
      <c r="AS12" s="47">
        <f>IF($AV$12&lt;1,AY12/$AV$12,AY12)+SIGN(AY12)</f>
        <v>-9.999999999999998</v>
      </c>
      <c r="AT12" s="46"/>
      <c r="AU12" s="46"/>
      <c r="AV12" s="46">
        <f>$AW$12/($AV$11/$AW$11)</f>
        <v>0.9999999999999998</v>
      </c>
      <c r="AW12" s="46">
        <v>2</v>
      </c>
      <c r="AX12" s="46">
        <f>MIN(AR5:AR10,AT5:AT10,AV5:AV10,AX5:AX10)</f>
        <v>-18</v>
      </c>
      <c r="AY12" s="47">
        <f>MIN(AS5:AS10,AU5:AU10,AW5:AW10,AY5:AY10)</f>
        <v>-8.999999999999998</v>
      </c>
    </row>
    <row r="13" spans="2:43" ht="13.5" customHeight="1" thickBot="1">
      <c r="B13" s="52" t="s">
        <v>16</v>
      </c>
      <c r="C13" s="64">
        <f>N7-90</f>
        <v>0</v>
      </c>
      <c r="D13" s="64" t="s">
        <v>61</v>
      </c>
      <c r="E13" s="54"/>
      <c r="F13" s="7"/>
      <c r="G13" s="7"/>
      <c r="H13" s="7"/>
      <c r="I13" s="7"/>
      <c r="K13" s="11" t="s">
        <v>199</v>
      </c>
      <c r="M13" s="11" t="s">
        <v>0</v>
      </c>
      <c r="N13" s="6">
        <f>$N$20*RADIANS(C10)</f>
        <v>-0.5235987755982988</v>
      </c>
      <c r="P13" s="11" t="s">
        <v>12</v>
      </c>
      <c r="Q13" s="6">
        <f>IF(AS$6-AS$4&gt;=0,ACOS((AR$6-AR$4)/SQRT((AR$6-AR$4)^2+(AS$6-AS$4)^2)),-ACOS((AR$6-AR$4)/SQRT((AR$6-AR$4)^2+(AS$6-AS$4)^2)))</f>
        <v>-2.677945044588987</v>
      </c>
      <c r="S13" s="3">
        <v>0.3</v>
      </c>
      <c r="T13" s="5">
        <f t="shared" si="0"/>
        <v>-1.748381468447775</v>
      </c>
      <c r="U13" s="5">
        <f t="shared" si="1"/>
        <v>9.432139622569736</v>
      </c>
      <c r="V13" s="5">
        <f t="shared" si="2"/>
        <v>-3.1639941518730956</v>
      </c>
      <c r="W13" s="5">
        <f t="shared" si="3"/>
        <v>1.526654109676123</v>
      </c>
      <c r="X13" s="5">
        <f t="shared" si="4"/>
        <v>1.0930818694340436</v>
      </c>
      <c r="Y13" s="5">
        <f t="shared" si="5"/>
        <v>-1.740387299603372</v>
      </c>
      <c r="Z13" s="5">
        <f t="shared" si="6"/>
        <v>-1.740387299603372</v>
      </c>
      <c r="AA13" s="5">
        <f t="shared" si="7"/>
        <v>3.0380256712195344</v>
      </c>
      <c r="AB13" s="5">
        <f t="shared" si="8"/>
        <v>0.1695909728084755</v>
      </c>
      <c r="AC13" s="5">
        <f t="shared" si="9"/>
        <v>1.9184120622629086</v>
      </c>
      <c r="AD13" s="5">
        <f t="shared" si="10"/>
        <v>1.2311747601712875</v>
      </c>
      <c r="AE13" s="4">
        <f t="shared" si="11"/>
        <v>79.71627459996499</v>
      </c>
      <c r="AF13" s="4">
        <f t="shared" si="12"/>
        <v>16.90908851760689</v>
      </c>
      <c r="AG13" s="4">
        <f t="shared" si="13"/>
        <v>51.103982890117706</v>
      </c>
      <c r="AH13" s="4"/>
      <c r="AI13" s="34" t="str">
        <f t="shared" si="14"/>
        <v>+</v>
      </c>
      <c r="AJ13" s="81">
        <f t="shared" si="15"/>
        <v>0.3</v>
      </c>
      <c r="AK13" s="35">
        <f t="shared" si="16"/>
        <v>3.0380256712195344</v>
      </c>
      <c r="AL13" s="35">
        <f t="shared" si="17"/>
        <v>9.716846985443551</v>
      </c>
      <c r="AM13" s="36">
        <f t="shared" si="18"/>
        <v>79.71627459996499</v>
      </c>
      <c r="AN13" s="35">
        <f t="shared" si="19"/>
        <v>1.0568180323504306</v>
      </c>
      <c r="AO13" s="37">
        <f t="shared" si="20"/>
        <v>51.103982890117706</v>
      </c>
      <c r="AQ13" s="10" t="s">
        <v>210</v>
      </c>
    </row>
    <row r="14" spans="2:45" ht="13.5" customHeight="1">
      <c r="B14" s="56" t="s">
        <v>29</v>
      </c>
      <c r="C14" s="57">
        <f>N8-20</f>
        <v>0</v>
      </c>
      <c r="D14" s="57" t="s">
        <v>61</v>
      </c>
      <c r="E14" s="58"/>
      <c r="F14" s="7"/>
      <c r="G14" s="7"/>
      <c r="H14" s="7"/>
      <c r="I14" s="7"/>
      <c r="K14" s="1">
        <f>IF($K$5&gt;0,0,-1)</f>
        <v>0</v>
      </c>
      <c r="M14" s="11" t="s">
        <v>1</v>
      </c>
      <c r="N14" s="6">
        <f>-$N$20*RADIANS(C11)</f>
        <v>0.5235987755982988</v>
      </c>
      <c r="P14" s="11" t="s">
        <v>168</v>
      </c>
      <c r="Q14" s="6">
        <f>IF(AS$9-AS$4&gt;=0,ACOS((AR$9-AR$4)/SQRT((AR$9-AR$4)^2+(AS$9-AS$4)^2)),-ACOS((AR$9-AR$4)/SQRT((AR$9-AR$4)^2+(AS$9-AS$4)^2)))</f>
        <v>3.141592653589793</v>
      </c>
      <c r="S14" s="3">
        <v>0.2</v>
      </c>
      <c r="T14" s="5">
        <f t="shared" si="0"/>
        <v>-1.6611150058480586</v>
      </c>
      <c r="U14" s="5">
        <f t="shared" si="1"/>
        <v>9.710060763103339</v>
      </c>
      <c r="V14" s="5">
        <f t="shared" si="2"/>
        <v>-3.201446491861167</v>
      </c>
      <c r="W14" s="5">
        <f t="shared" si="3"/>
        <v>2.0824963907433314</v>
      </c>
      <c r="X14" s="5">
        <f t="shared" si="4"/>
        <v>1.0471975511965972</v>
      </c>
      <c r="Y14" s="5">
        <f t="shared" si="5"/>
        <v>-1.6841588774482852</v>
      </c>
      <c r="Z14" s="5">
        <f t="shared" si="6"/>
        <v>-1.6841588774482852</v>
      </c>
      <c r="AA14" s="5">
        <f t="shared" si="7"/>
        <v>2.0361582296706366</v>
      </c>
      <c r="AB14" s="5">
        <f t="shared" si="8"/>
        <v>0.11336255065338863</v>
      </c>
      <c r="AC14" s="5">
        <f t="shared" si="9"/>
        <v>1.8313582301512072</v>
      </c>
      <c r="AD14" s="5">
        <f t="shared" si="10"/>
        <v>1.2871905518383593</v>
      </c>
      <c r="AE14" s="4">
        <f t="shared" si="11"/>
        <v>53.427773867442674</v>
      </c>
      <c r="AF14" s="4">
        <f t="shared" si="12"/>
        <v>11.13017503010057</v>
      </c>
      <c r="AG14" s="4">
        <f t="shared" si="13"/>
        <v>34.570801801803846</v>
      </c>
      <c r="AH14" s="4"/>
      <c r="AI14" s="34" t="str">
        <f t="shared" si="14"/>
        <v>+</v>
      </c>
      <c r="AJ14" s="81">
        <f t="shared" si="15"/>
        <v>0.2</v>
      </c>
      <c r="AK14" s="35">
        <f t="shared" si="16"/>
        <v>2.0361582296706366</v>
      </c>
      <c r="AL14" s="35">
        <f t="shared" si="17"/>
        <v>6.4951957072771815</v>
      </c>
      <c r="AM14" s="36">
        <f t="shared" si="18"/>
        <v>53.427773867442674</v>
      </c>
      <c r="AN14" s="35">
        <f t="shared" si="19"/>
        <v>0.6956359393812857</v>
      </c>
      <c r="AO14" s="37">
        <f t="shared" si="20"/>
        <v>34.570801801803846</v>
      </c>
      <c r="AQ14" s="16" t="s">
        <v>40</v>
      </c>
      <c r="AR14" s="146" t="s">
        <v>174</v>
      </c>
      <c r="AS14" s="139" t="s">
        <v>172</v>
      </c>
    </row>
    <row r="15" spans="2:45" ht="13.5" customHeight="1" thickBot="1">
      <c r="B15" s="59" t="s">
        <v>52</v>
      </c>
      <c r="C15" s="87"/>
      <c r="D15" s="87"/>
      <c r="E15" s="88"/>
      <c r="F15" s="7"/>
      <c r="G15" s="7"/>
      <c r="H15" s="7"/>
      <c r="I15" s="7"/>
      <c r="M15" s="11" t="s">
        <v>2</v>
      </c>
      <c r="N15" s="6">
        <f>$N$20*$N$22*RADIANS(C8)</f>
        <v>-0.8726646259971648</v>
      </c>
      <c r="P15" s="11" t="s">
        <v>49</v>
      </c>
      <c r="Q15" s="6">
        <f>IF(Q$11=0,PI()/2,ATAN(Q$12/Q$11))</f>
        <v>-1.4865820806486256</v>
      </c>
      <c r="S15" s="3">
        <v>0.1</v>
      </c>
      <c r="T15" s="5">
        <f t="shared" si="0"/>
        <v>-1.5738485432483422</v>
      </c>
      <c r="U15" s="5">
        <f t="shared" si="1"/>
        <v>9.990188516299824</v>
      </c>
      <c r="V15" s="5">
        <f t="shared" si="2"/>
        <v>-3.214533890959931</v>
      </c>
      <c r="W15" s="5">
        <f t="shared" si="3"/>
        <v>2.6427518971363</v>
      </c>
      <c r="X15" s="5">
        <f t="shared" si="4"/>
        <v>1.0049294224352918</v>
      </c>
      <c r="Y15" s="5">
        <f t="shared" si="5"/>
        <v>-1.627543190319143</v>
      </c>
      <c r="Z15" s="5">
        <f t="shared" si="6"/>
        <v>-1.627543190319143</v>
      </c>
      <c r="AA15" s="5">
        <f t="shared" si="7"/>
        <v>1.0208954218374147</v>
      </c>
      <c r="AB15" s="5">
        <f t="shared" si="8"/>
        <v>0.056746863524246516</v>
      </c>
      <c r="AC15" s="5">
        <f t="shared" si="9"/>
        <v>1.7451582225784044</v>
      </c>
      <c r="AD15" s="5">
        <f t="shared" si="10"/>
        <v>1.3427397839405877</v>
      </c>
      <c r="AE15" s="4">
        <f t="shared" si="11"/>
        <v>26.78778542130284</v>
      </c>
      <c r="AF15" s="4">
        <f t="shared" si="12"/>
        <v>5.499964245788971</v>
      </c>
      <c r="AG15" s="4">
        <f t="shared" si="13"/>
        <v>17.411831174613333</v>
      </c>
      <c r="AH15" s="4"/>
      <c r="AI15" s="34" t="str">
        <f t="shared" si="14"/>
        <v>+</v>
      </c>
      <c r="AJ15" s="81">
        <f t="shared" si="15"/>
        <v>0.1</v>
      </c>
      <c r="AK15" s="35">
        <f t="shared" si="16"/>
        <v>1.0208954218374147</v>
      </c>
      <c r="AL15" s="35">
        <f t="shared" si="17"/>
        <v>3.251355780544202</v>
      </c>
      <c r="AM15" s="36">
        <f t="shared" si="18"/>
        <v>26.78778542130284</v>
      </c>
      <c r="AN15" s="35">
        <f t="shared" si="19"/>
        <v>0.3437477653618107</v>
      </c>
      <c r="AO15" s="37">
        <f t="shared" si="20"/>
        <v>17.411831174613333</v>
      </c>
      <c r="AQ15" s="140"/>
      <c r="AR15" s="141" t="s">
        <v>61</v>
      </c>
      <c r="AS15" s="142" t="s">
        <v>173</v>
      </c>
    </row>
    <row r="16" spans="2:45" ht="13.5" customHeight="1">
      <c r="B16" s="52" t="s">
        <v>75</v>
      </c>
      <c r="C16" s="53">
        <v>70</v>
      </c>
      <c r="D16" s="64" t="s">
        <v>62</v>
      </c>
      <c r="E16" s="54"/>
      <c r="F16" s="7"/>
      <c r="G16" s="7"/>
      <c r="H16" s="7"/>
      <c r="I16" s="7"/>
      <c r="K16" s="11" t="s">
        <v>200</v>
      </c>
      <c r="M16" s="11" t="s">
        <v>3</v>
      </c>
      <c r="N16" s="6">
        <f>-$N$20*$N$22*RADIANS(C9)</f>
        <v>0.8726646259971648</v>
      </c>
      <c r="P16" s="11" t="s">
        <v>4</v>
      </c>
      <c r="Q16" s="6">
        <f>SQRT(N$12^2+C$6^2)</f>
        <v>5</v>
      </c>
      <c r="S16" s="3">
        <v>0</v>
      </c>
      <c r="T16" s="5">
        <f t="shared" si="0"/>
        <v>-1.4865820806486256</v>
      </c>
      <c r="U16" s="5">
        <f t="shared" si="1"/>
        <v>10.270390940811604</v>
      </c>
      <c r="V16" s="5">
        <f t="shared" si="2"/>
        <v>-3.203156746159858</v>
      </c>
      <c r="W16" s="5">
        <f t="shared" si="3"/>
        <v>3.2031567461598582</v>
      </c>
      <c r="X16" s="5">
        <f t="shared" si="4"/>
        <v>0.9661516383751608</v>
      </c>
      <c r="Y16" s="5">
        <f t="shared" si="5"/>
        <v>-1.5707963267948966</v>
      </c>
      <c r="Z16" s="5">
        <f t="shared" si="6"/>
        <v>-1.5707963267948966</v>
      </c>
      <c r="AA16" s="5">
        <f t="shared" si="7"/>
        <v>0</v>
      </c>
      <c r="AB16" s="5">
        <f t="shared" si="8"/>
        <v>0</v>
      </c>
      <c r="AC16" s="5">
        <f t="shared" si="9"/>
        <v>1.6597828564017978</v>
      </c>
      <c r="AD16" s="5">
        <f t="shared" si="10"/>
        <v>1.3975955510417246</v>
      </c>
      <c r="AE16" s="4">
        <f t="shared" si="11"/>
        <v>0</v>
      </c>
      <c r="AF16" s="4">
        <f t="shared" si="12"/>
        <v>0</v>
      </c>
      <c r="AG16" s="4">
        <f t="shared" si="13"/>
        <v>0</v>
      </c>
      <c r="AH16" s="4"/>
      <c r="AI16" s="34">
        <f t="shared" si="14"/>
      </c>
      <c r="AJ16" s="81">
        <f t="shared" si="15"/>
        <v>0</v>
      </c>
      <c r="AK16" s="35">
        <f t="shared" si="16"/>
        <v>0</v>
      </c>
      <c r="AL16" s="35">
        <f t="shared" si="17"/>
        <v>0</v>
      </c>
      <c r="AM16" s="36">
        <f t="shared" si="18"/>
        <v>0</v>
      </c>
      <c r="AN16" s="35">
        <f t="shared" si="19"/>
        <v>0</v>
      </c>
      <c r="AO16" s="37">
        <f t="shared" si="20"/>
        <v>0</v>
      </c>
      <c r="AQ16" s="136">
        <v>0</v>
      </c>
      <c r="AR16" s="148">
        <f ca="1">SIGN($AC$6-$AC$26)*(ABS(OFFSET($AL$16,-AQ16*10,0))-ABS(OFFSET($AL$16,AQ16*10,0)))</f>
        <v>0</v>
      </c>
      <c r="AS16" s="145">
        <f aca="true" ca="1" t="shared" si="21" ref="AS16:AS26">RADIANS(AR16)*$Q$16*10*MAX(ABS(SIN(OFFSET($AC$16,AQ16*10,0))),ABS(SIN(OFFSET($AC$16,-AQ16*10,0))))</f>
        <v>0</v>
      </c>
    </row>
    <row r="17" spans="2:45" ht="13.5" customHeight="1">
      <c r="B17" s="56" t="s">
        <v>76</v>
      </c>
      <c r="C17" s="60">
        <v>18</v>
      </c>
      <c r="D17" s="57" t="s">
        <v>60</v>
      </c>
      <c r="E17" s="58"/>
      <c r="F17" s="7"/>
      <c r="G17" s="7"/>
      <c r="H17" s="1" t="s">
        <v>209</v>
      </c>
      <c r="I17" s="7"/>
      <c r="K17" s="1">
        <v>1</v>
      </c>
      <c r="M17" s="11" t="s">
        <v>16</v>
      </c>
      <c r="N17" s="1">
        <f>RADIANS($N$20*C$13)</f>
        <v>0</v>
      </c>
      <c r="P17" s="11" t="s">
        <v>5</v>
      </c>
      <c r="Q17" s="6">
        <f>IF(N$12=0,SIGN(C$6)*PI()/2,IF(SIGN(N$12)&gt;0,ATAN(C$6/N$12),ATAN(C$6/N$12)+PI()))+N$17</f>
        <v>-1.5707963267948966</v>
      </c>
      <c r="S17" s="3">
        <v>-0.1</v>
      </c>
      <c r="T17" s="5">
        <f t="shared" si="0"/>
        <v>-1.399315618048909</v>
      </c>
      <c r="U17" s="5">
        <f t="shared" si="1"/>
        <v>10.548535526997295</v>
      </c>
      <c r="V17" s="5">
        <f t="shared" si="2"/>
        <v>-3.167401644402584</v>
      </c>
      <c r="W17" s="5">
        <f t="shared" si="3"/>
        <v>3.759445918531243</v>
      </c>
      <c r="X17" s="5">
        <f t="shared" si="4"/>
        <v>0.9307511188365226</v>
      </c>
      <c r="Y17" s="5">
        <f t="shared" si="5"/>
        <v>-1.5141588458086768</v>
      </c>
      <c r="Z17" s="5">
        <f t="shared" si="6"/>
        <v>-1.5141588458086768</v>
      </c>
      <c r="AA17" s="5">
        <f t="shared" si="7"/>
        <v>-1.0189296993082313</v>
      </c>
      <c r="AB17" s="5">
        <f t="shared" si="8"/>
        <v>-0.05663748098621978</v>
      </c>
      <c r="AC17" s="5">
        <f t="shared" si="9"/>
        <v>1.5752177831439564</v>
      </c>
      <c r="AD17" s="5">
        <f t="shared" si="10"/>
        <v>1.451531642686069</v>
      </c>
      <c r="AE17" s="4">
        <f t="shared" si="11"/>
        <v>26.736205844998327</v>
      </c>
      <c r="AF17" s="4">
        <f t="shared" si="12"/>
        <v>5.385497623666013</v>
      </c>
      <c r="AG17" s="4">
        <f t="shared" si="13"/>
        <v>17.311776052431295</v>
      </c>
      <c r="AH17" s="4"/>
      <c r="AI17" s="34" t="str">
        <f t="shared" si="14"/>
        <v>-</v>
      </c>
      <c r="AJ17" s="81">
        <f t="shared" si="15"/>
        <v>0.1</v>
      </c>
      <c r="AK17" s="35">
        <f t="shared" si="16"/>
        <v>1.0189296993082313</v>
      </c>
      <c r="AL17" s="35">
        <f t="shared" si="17"/>
        <v>3.2450886227628413</v>
      </c>
      <c r="AM17" s="36">
        <f t="shared" si="18"/>
        <v>26.736205844998327</v>
      </c>
      <c r="AN17" s="35">
        <f t="shared" si="19"/>
        <v>0.3365936014791258</v>
      </c>
      <c r="AO17" s="37">
        <f t="shared" si="20"/>
        <v>17.311776052431295</v>
      </c>
      <c r="AQ17" s="34">
        <v>0.1</v>
      </c>
      <c r="AR17" s="149">
        <f aca="true" ca="1" t="shared" si="22" ref="AR17:AR26">SIGN($AC$6-$AC$26)*(ABS(OFFSET($AL$16,-AQ17*10,0))-ABS(OFFSET($AL$16,AQ17*10,0)))</f>
        <v>0.006267157781360666</v>
      </c>
      <c r="AS17" s="143">
        <f ca="1" t="shared" si="21"/>
        <v>0.005469073442687105</v>
      </c>
    </row>
    <row r="18" spans="2:45" ht="13.5" customHeight="1" thickBot="1">
      <c r="B18" s="61" t="s">
        <v>77</v>
      </c>
      <c r="C18" s="65">
        <v>35</v>
      </c>
      <c r="D18" s="62" t="s">
        <v>60</v>
      </c>
      <c r="E18" s="63"/>
      <c r="F18" s="7"/>
      <c r="G18" s="13" t="s">
        <v>85</v>
      </c>
      <c r="H18" s="13" t="s">
        <v>83</v>
      </c>
      <c r="I18" s="13" t="s">
        <v>84</v>
      </c>
      <c r="M18" s="11" t="s">
        <v>29</v>
      </c>
      <c r="N18" s="1">
        <f>RADIANS($C$14)*$N$20</f>
        <v>0</v>
      </c>
      <c r="P18" s="11" t="s">
        <v>6</v>
      </c>
      <c r="Q18" s="6">
        <f>Q$17+N$13</f>
        <v>-2.0943951023931953</v>
      </c>
      <c r="S18" s="3">
        <v>-0.2</v>
      </c>
      <c r="T18" s="5">
        <f t="shared" si="0"/>
        <v>-1.3120491554491927</v>
      </c>
      <c r="U18" s="5">
        <f t="shared" si="1"/>
        <v>10.822505426607727</v>
      </c>
      <c r="V18" s="5">
        <f t="shared" si="2"/>
        <v>-3.1075407036020035</v>
      </c>
      <c r="W18" s="5">
        <f t="shared" si="3"/>
        <v>4.307385717752105</v>
      </c>
      <c r="X18" s="5">
        <f t="shared" si="4"/>
        <v>0.8986326822021783</v>
      </c>
      <c r="Y18" s="5">
        <f t="shared" si="5"/>
        <v>-1.4578615126202557</v>
      </c>
      <c r="Z18" s="5">
        <f t="shared" si="6"/>
        <v>-1.4578615126202557</v>
      </c>
      <c r="AA18" s="5">
        <f t="shared" si="7"/>
        <v>-2.028508205897172</v>
      </c>
      <c r="AB18" s="5">
        <f t="shared" si="8"/>
        <v>-0.11293481417464091</v>
      </c>
      <c r="AC18" s="5">
        <f t="shared" si="9"/>
        <v>1.4914618969146545</v>
      </c>
      <c r="AD18" s="5">
        <f t="shared" si="10"/>
        <v>1.5043183995040756</v>
      </c>
      <c r="AE18" s="4">
        <f t="shared" si="11"/>
        <v>53.22704106863884</v>
      </c>
      <c r="AF18" s="4">
        <f t="shared" si="12"/>
        <v>10.668974311103103</v>
      </c>
      <c r="AG18" s="4">
        <f t="shared" si="13"/>
        <v>34.18806735810727</v>
      </c>
      <c r="AH18" s="4"/>
      <c r="AI18" s="34" t="str">
        <f t="shared" si="14"/>
        <v>-</v>
      </c>
      <c r="AJ18" s="81">
        <f t="shared" si="15"/>
        <v>0.2</v>
      </c>
      <c r="AK18" s="35">
        <f t="shared" si="16"/>
        <v>2.028508205897172</v>
      </c>
      <c r="AL18" s="35">
        <f t="shared" si="17"/>
        <v>6.47068821230115</v>
      </c>
      <c r="AM18" s="36">
        <f t="shared" si="18"/>
        <v>53.22704106863884</v>
      </c>
      <c r="AN18" s="35">
        <f t="shared" si="19"/>
        <v>0.6668108944439439</v>
      </c>
      <c r="AO18" s="37">
        <f t="shared" si="20"/>
        <v>34.18806735810727</v>
      </c>
      <c r="AQ18" s="34">
        <v>0.2</v>
      </c>
      <c r="AR18" s="149">
        <f ca="1" t="shared" si="22"/>
        <v>0.024507494976031552</v>
      </c>
      <c r="AS18" s="143">
        <f ca="1" t="shared" si="21"/>
        <v>0.02131955541143533</v>
      </c>
    </row>
    <row r="19" spans="6:45" ht="13.5" customHeight="1" thickBot="1">
      <c r="F19" s="7"/>
      <c r="G19" s="7"/>
      <c r="H19" s="7"/>
      <c r="I19" s="7"/>
      <c r="M19" s="11" t="s">
        <v>53</v>
      </c>
      <c r="N19" s="2" t="b">
        <v>1</v>
      </c>
      <c r="P19" s="11" t="s">
        <v>7</v>
      </c>
      <c r="Q19" s="6">
        <f>Q$17+N$14</f>
        <v>-1.0471975511965979</v>
      </c>
      <c r="S19" s="3">
        <v>-0.3</v>
      </c>
      <c r="T19" s="5">
        <f t="shared" si="0"/>
        <v>-1.2247826928494763</v>
      </c>
      <c r="U19" s="5">
        <f t="shared" si="1"/>
        <v>11.090215563279319</v>
      </c>
      <c r="V19" s="5">
        <f t="shared" si="2"/>
        <v>-3.0240295016626324</v>
      </c>
      <c r="W19" s="5">
        <f t="shared" si="3"/>
        <v>4.842805991095288</v>
      </c>
      <c r="X19" s="5">
        <f t="shared" si="4"/>
        <v>0.8697224371363935</v>
      </c>
      <c r="Y19" s="5">
        <f t="shared" si="5"/>
        <v>-1.4021300612062744</v>
      </c>
      <c r="Z19" s="5">
        <f t="shared" si="6"/>
        <v>-1.4021300612062744</v>
      </c>
      <c r="AA19" s="5">
        <f t="shared" si="7"/>
        <v>-3.021618431933674</v>
      </c>
      <c r="AB19" s="5">
        <f t="shared" si="8"/>
        <v>-0.1686662655886222</v>
      </c>
      <c r="AC19" s="5">
        <f t="shared" si="9"/>
        <v>1.4085260837170992</v>
      </c>
      <c r="AD19" s="5">
        <f t="shared" si="10"/>
        <v>1.555719201515896</v>
      </c>
      <c r="AE19" s="4">
        <f t="shared" si="11"/>
        <v>79.28575684472364</v>
      </c>
      <c r="AF19" s="4">
        <f t="shared" si="12"/>
        <v>15.858953861169146</v>
      </c>
      <c r="AG19" s="4">
        <f t="shared" si="13"/>
        <v>50.309668456155954</v>
      </c>
      <c r="AH19" s="4"/>
      <c r="AI19" s="34" t="str">
        <f t="shared" si="14"/>
        <v>-</v>
      </c>
      <c r="AJ19" s="81">
        <f t="shared" si="15"/>
        <v>0.3</v>
      </c>
      <c r="AK19" s="35">
        <f t="shared" si="16"/>
        <v>3.021618431933674</v>
      </c>
      <c r="AL19" s="35">
        <f t="shared" si="17"/>
        <v>9.663865164460681</v>
      </c>
      <c r="AM19" s="36">
        <f t="shared" si="18"/>
        <v>79.28575684472364</v>
      </c>
      <c r="AN19" s="35">
        <f t="shared" si="19"/>
        <v>0.9911846163230716</v>
      </c>
      <c r="AO19" s="37">
        <f t="shared" si="20"/>
        <v>50.309668456155954</v>
      </c>
      <c r="AQ19" s="34">
        <v>0.3</v>
      </c>
      <c r="AR19" s="149">
        <f ca="1" t="shared" si="22"/>
        <v>0.052981820982870076</v>
      </c>
      <c r="AS19" s="143">
        <f ca="1" t="shared" si="21"/>
        <v>0.045627969299808196</v>
      </c>
    </row>
    <row r="20" spans="2:45" ht="13.5" customHeight="1">
      <c r="B20" s="67" t="s">
        <v>40</v>
      </c>
      <c r="C20" s="68">
        <f>N9-100</f>
        <v>-30</v>
      </c>
      <c r="D20" s="69" t="s">
        <v>65</v>
      </c>
      <c r="E20" s="70"/>
      <c r="F20" s="7"/>
      <c r="M20" s="11" t="s">
        <v>53</v>
      </c>
      <c r="N20" s="1">
        <f>IF(N$19,-1,1)</f>
        <v>-1</v>
      </c>
      <c r="P20" s="11" t="s">
        <v>23</v>
      </c>
      <c r="Q20" s="5">
        <f>Q10/(2*(($AR$4-$AV$6)*COS(Q23)-($AR$4-$AR$6)*COS($Q$21)+($AS$4-$AW$6)*SIN(Q23)-($AS$4-$AS$6)*SIN($Q$21)))</f>
        <v>3.2145488643575466</v>
      </c>
      <c r="S20" s="3">
        <v>-0.4</v>
      </c>
      <c r="T20" s="5">
        <f t="shared" si="0"/>
        <v>-1.1375162302497597</v>
      </c>
      <c r="U20" s="5">
        <f t="shared" si="1"/>
        <v>11.3496285012242</v>
      </c>
      <c r="V20" s="5">
        <f t="shared" si="2"/>
        <v>-2.917503609256672</v>
      </c>
      <c r="W20" s="5">
        <f t="shared" si="3"/>
        <v>5.361631866985052</v>
      </c>
      <c r="X20" s="5">
        <f t="shared" si="4"/>
        <v>0.8439698806017283</v>
      </c>
      <c r="Y20" s="5">
        <f t="shared" si="5"/>
        <v>-1.3471891127768765</v>
      </c>
      <c r="Z20" s="5">
        <f t="shared" si="6"/>
        <v>-1.3471891127768765</v>
      </c>
      <c r="AA20" s="5">
        <f t="shared" si="7"/>
        <v>-3.9914723989140874</v>
      </c>
      <c r="AB20" s="5">
        <f t="shared" si="8"/>
        <v>-0.22360721401802008</v>
      </c>
      <c r="AC20" s="5">
        <f t="shared" si="9"/>
        <v>1.3264321975555173</v>
      </c>
      <c r="AD20" s="5">
        <f t="shared" si="10"/>
        <v>1.6054875735071596</v>
      </c>
      <c r="AE20" s="4">
        <f t="shared" si="11"/>
        <v>104.73424001130618</v>
      </c>
      <c r="AF20" s="4">
        <f t="shared" si="12"/>
        <v>20.959458909469763</v>
      </c>
      <c r="AG20" s="4">
        <f t="shared" si="13"/>
        <v>65.37357935251897</v>
      </c>
      <c r="AH20" s="4"/>
      <c r="AI20" s="34" t="str">
        <f t="shared" si="14"/>
        <v>-</v>
      </c>
      <c r="AJ20" s="81">
        <f t="shared" si="15"/>
        <v>0.4</v>
      </c>
      <c r="AK20" s="35">
        <f t="shared" si="16"/>
        <v>3.9914723989140874</v>
      </c>
      <c r="AL20" s="35">
        <f t="shared" si="17"/>
        <v>12.81174963191109</v>
      </c>
      <c r="AM20" s="36">
        <f t="shared" si="18"/>
        <v>104.73424001130618</v>
      </c>
      <c r="AN20" s="35">
        <f t="shared" si="19"/>
        <v>1.3099661818418602</v>
      </c>
      <c r="AO20" s="37">
        <f t="shared" si="20"/>
        <v>65.37357935251897</v>
      </c>
      <c r="AQ20" s="34">
        <v>0.4</v>
      </c>
      <c r="AR20" s="149">
        <f ca="1" t="shared" si="22"/>
        <v>0.0886014763375762</v>
      </c>
      <c r="AS20" s="143">
        <f ca="1" t="shared" si="21"/>
        <v>0.0750223210132721</v>
      </c>
    </row>
    <row r="21" spans="2:45" ht="13.5" customHeight="1">
      <c r="B21" s="71" t="s">
        <v>42</v>
      </c>
      <c r="C21" s="137">
        <f>DEGREES(ASIN(SIN($N$20*($Z5-$Q$17+$N$17))))</f>
        <v>-9.663865164460681</v>
      </c>
      <c r="D21" s="72" t="s">
        <v>61</v>
      </c>
      <c r="E21" s="73"/>
      <c r="G21" s="7"/>
      <c r="H21" s="7"/>
      <c r="I21" s="7"/>
      <c r="M21" s="11" t="s">
        <v>52</v>
      </c>
      <c r="N21" s="2" t="b">
        <v>0</v>
      </c>
      <c r="P21" s="11" t="s">
        <v>13</v>
      </c>
      <c r="Q21" s="6">
        <f>IF(SIGN(ASIN(SIN($Q$14-$Q$13)))*N$22*SIGN(ASIN(SIN(Q$15-Q$13)))&gt;0,Q$15-SIGN(ASIN(SIN($Q$14-$Q$13)))*N$22*PI(),Q$15)</f>
        <v>-1.4865820806486256</v>
      </c>
      <c r="S21" s="3">
        <v>-0.5</v>
      </c>
      <c r="T21" s="5">
        <f t="shared" si="0"/>
        <v>-1.0502497676500433</v>
      </c>
      <c r="U21" s="5">
        <f t="shared" si="1"/>
        <v>11.598769951346796</v>
      </c>
      <c r="V21" s="5">
        <f t="shared" si="2"/>
        <v>-2.7887737527474243</v>
      </c>
      <c r="W21" s="5">
        <f t="shared" si="3"/>
        <v>5.859914767230244</v>
      </c>
      <c r="X21" s="5">
        <f t="shared" si="4"/>
        <v>0.8213489835226357</v>
      </c>
      <c r="Y21" s="5">
        <f t="shared" si="5"/>
        <v>-1.293265311589336</v>
      </c>
      <c r="Z21" s="5">
        <f t="shared" si="6"/>
        <v>-1.293265311589336</v>
      </c>
      <c r="AA21" s="5">
        <f t="shared" si="7"/>
        <v>-4.931675593114264</v>
      </c>
      <c r="AB21" s="5">
        <f t="shared" si="8"/>
        <v>-0.2775310152055606</v>
      </c>
      <c r="AC21" s="5">
        <f t="shared" si="9"/>
        <v>1.2452121503930502</v>
      </c>
      <c r="AD21" s="5">
        <f t="shared" si="10"/>
        <v>1.65336495925745</v>
      </c>
      <c r="AE21" s="4">
        <f t="shared" si="11"/>
        <v>129.40470172552176</v>
      </c>
      <c r="AF21" s="4">
        <f t="shared" si="12"/>
        <v>25.96941433085811</v>
      </c>
      <c r="AG21" s="4">
        <f t="shared" si="13"/>
        <v>79.09425129855013</v>
      </c>
      <c r="AH21" s="4"/>
      <c r="AI21" s="34" t="str">
        <f t="shared" si="14"/>
        <v>-</v>
      </c>
      <c r="AJ21" s="81">
        <f t="shared" si="15"/>
        <v>0.5</v>
      </c>
      <c r="AK21" s="35">
        <f t="shared" si="16"/>
        <v>4.931675593114264</v>
      </c>
      <c r="AL21" s="35">
        <f t="shared" si="17"/>
        <v>15.901355855259698</v>
      </c>
      <c r="AM21" s="36">
        <f t="shared" si="18"/>
        <v>129.40470172552176</v>
      </c>
      <c r="AN21" s="35">
        <f t="shared" si="19"/>
        <v>1.623088395678632</v>
      </c>
      <c r="AO21" s="37">
        <f t="shared" si="20"/>
        <v>79.09425129855013</v>
      </c>
      <c r="AQ21" s="34">
        <v>0.5</v>
      </c>
      <c r="AR21" s="149">
        <f ca="1" t="shared" si="22"/>
        <v>0.12662919633677916</v>
      </c>
      <c r="AS21" s="143">
        <f ca="1" t="shared" si="21"/>
        <v>0.10469934256809764</v>
      </c>
    </row>
    <row r="22" spans="2:45" ht="13.5" customHeight="1" thickBot="1">
      <c r="B22" s="74"/>
      <c r="C22" s="76"/>
      <c r="D22" s="76"/>
      <c r="E22" s="75"/>
      <c r="F22" s="7"/>
      <c r="G22" s="7"/>
      <c r="H22" s="7"/>
      <c r="I22" s="7"/>
      <c r="M22" s="11" t="s">
        <v>52</v>
      </c>
      <c r="N22" s="1">
        <f>IF(N$21,-1,1)</f>
        <v>1</v>
      </c>
      <c r="P22" s="11" t="s">
        <v>14</v>
      </c>
      <c r="Q22" s="6">
        <f>Q$21+N15</f>
        <v>-2.3592467066457905</v>
      </c>
      <c r="S22" s="3">
        <v>-0.6</v>
      </c>
      <c r="T22" s="5">
        <f t="shared" si="0"/>
        <v>-0.9629833050503268</v>
      </c>
      <c r="U22" s="5">
        <f t="shared" si="1"/>
        <v>11.835743796775953</v>
      </c>
      <c r="V22" s="5">
        <f t="shared" si="2"/>
        <v>-2.638819644072137</v>
      </c>
      <c r="W22" s="5">
        <f t="shared" si="3"/>
        <v>6.333862458088559</v>
      </c>
      <c r="X22" s="5">
        <f t="shared" si="4"/>
        <v>0.8018584072181973</v>
      </c>
      <c r="Y22" s="5">
        <f t="shared" si="5"/>
        <v>-1.2405896738295195</v>
      </c>
      <c r="Z22" s="5">
        <f t="shared" si="6"/>
        <v>-1.2405896738295195</v>
      </c>
      <c r="AA22" s="5">
        <f t="shared" si="7"/>
        <v>-5.836293430738883</v>
      </c>
      <c r="AB22" s="5">
        <f t="shared" si="8"/>
        <v>-0.3302066529653771</v>
      </c>
      <c r="AC22" s="5">
        <f t="shared" si="9"/>
        <v>1.1649070000227906</v>
      </c>
      <c r="AD22" s="5">
        <f t="shared" si="10"/>
        <v>1.6990792847878091</v>
      </c>
      <c r="AE22" s="4">
        <f t="shared" si="11"/>
        <v>153.14142147587293</v>
      </c>
      <c r="AF22" s="4">
        <f t="shared" si="12"/>
        <v>30.882041436839224</v>
      </c>
      <c r="AG22" s="4">
        <f t="shared" si="13"/>
        <v>91.20615599305442</v>
      </c>
      <c r="AH22" s="4"/>
      <c r="AI22" s="34" t="str">
        <f t="shared" si="14"/>
        <v>-</v>
      </c>
      <c r="AJ22" s="81">
        <f t="shared" si="15"/>
        <v>0.6</v>
      </c>
      <c r="AK22" s="35">
        <f t="shared" si="16"/>
        <v>5.836293430738883</v>
      </c>
      <c r="AL22" s="35">
        <f t="shared" si="17"/>
        <v>18.91944758205714</v>
      </c>
      <c r="AM22" s="36">
        <f t="shared" si="18"/>
        <v>153.14142147587293</v>
      </c>
      <c r="AN22" s="35">
        <f t="shared" si="19"/>
        <v>1.9301275898024515</v>
      </c>
      <c r="AO22" s="37">
        <f t="shared" si="20"/>
        <v>91.20615599305442</v>
      </c>
      <c r="AQ22" s="34">
        <v>0.6</v>
      </c>
      <c r="AR22" s="149">
        <f ca="1" t="shared" si="22"/>
        <v>0.16023267078035985</v>
      </c>
      <c r="AS22" s="143">
        <f ca="1" t="shared" si="21"/>
        <v>0.12846847313985446</v>
      </c>
    </row>
    <row r="23" spans="6:45" ht="13.5" customHeight="1">
      <c r="F23" s="7"/>
      <c r="G23" s="7"/>
      <c r="H23" s="7"/>
      <c r="I23" s="7"/>
      <c r="M23" s="11" t="s">
        <v>30</v>
      </c>
      <c r="N23" s="1">
        <f>$N$20*$C$17</f>
        <v>-18</v>
      </c>
      <c r="P23" s="11" t="s">
        <v>15</v>
      </c>
      <c r="Q23" s="6">
        <f>Q$21+N16</f>
        <v>-0.6139174546514609</v>
      </c>
      <c r="S23" s="3">
        <v>-0.7</v>
      </c>
      <c r="T23" s="5">
        <f t="shared" si="0"/>
        <v>-0.8757168424506103</v>
      </c>
      <c r="U23" s="5">
        <f t="shared" si="1"/>
        <v>12.058746523459233</v>
      </c>
      <c r="V23" s="5">
        <f t="shared" si="2"/>
        <v>-2.468782524542596</v>
      </c>
      <c r="W23" s="5">
        <f t="shared" si="3"/>
        <v>6.779867911455118</v>
      </c>
      <c r="X23" s="5">
        <f t="shared" si="4"/>
        <v>0.7855208804284972</v>
      </c>
      <c r="Y23" s="5">
        <f t="shared" si="5"/>
        <v>-1.1893990845545255</v>
      </c>
      <c r="Z23" s="5">
        <f t="shared" si="6"/>
        <v>-1.1893990845545255</v>
      </c>
      <c r="AA23" s="5">
        <f t="shared" si="7"/>
        <v>-6.699918174757314</v>
      </c>
      <c r="AB23" s="5">
        <f t="shared" si="8"/>
        <v>-0.38139724224037114</v>
      </c>
      <c r="AC23" s="5">
        <f t="shared" si="9"/>
        <v>1.0855659136466065</v>
      </c>
      <c r="AD23" s="5">
        <f t="shared" si="10"/>
        <v>1.742344497839271</v>
      </c>
      <c r="AE23" s="4">
        <f t="shared" si="11"/>
        <v>175.80250294654456</v>
      </c>
      <c r="AF23" s="4">
        <f t="shared" si="12"/>
        <v>35.68428658558328</v>
      </c>
      <c r="AG23" s="4">
        <f t="shared" si="13"/>
        <v>101.46775037538566</v>
      </c>
      <c r="AH23" s="4"/>
      <c r="AI23" s="34" t="str">
        <f t="shared" si="14"/>
        <v>-</v>
      </c>
      <c r="AJ23" s="81">
        <f t="shared" si="15"/>
        <v>0.7</v>
      </c>
      <c r="AK23" s="35">
        <f t="shared" si="16"/>
        <v>6.699918174757314</v>
      </c>
      <c r="AL23" s="35">
        <f t="shared" si="17"/>
        <v>21.85245229830195</v>
      </c>
      <c r="AM23" s="36">
        <f t="shared" si="18"/>
        <v>175.80250294654456</v>
      </c>
      <c r="AN23" s="35">
        <f t="shared" si="19"/>
        <v>2.230267911598955</v>
      </c>
      <c r="AO23" s="37">
        <f t="shared" si="20"/>
        <v>101.46775037538566</v>
      </c>
      <c r="AQ23" s="34">
        <v>0.7</v>
      </c>
      <c r="AR23" s="149">
        <f ca="1" t="shared" si="22"/>
        <v>0.1798652991100873</v>
      </c>
      <c r="AS23" s="143">
        <f ca="1" t="shared" si="21"/>
        <v>0.13884355901791795</v>
      </c>
    </row>
    <row r="24" spans="2:45" ht="13.5" customHeight="1" thickBot="1">
      <c r="B24" s="10" t="s">
        <v>80</v>
      </c>
      <c r="F24" s="7"/>
      <c r="P24" s="11" t="s">
        <v>28</v>
      </c>
      <c r="Q24" s="5">
        <f>SQRT(($AR$5-$AR$6)^2+($AS$5-$AS$6)^2)</f>
        <v>10.426388433008617</v>
      </c>
      <c r="S24" s="3">
        <v>-0.8</v>
      </c>
      <c r="T24" s="5">
        <f t="shared" si="0"/>
        <v>-0.7884503798508937</v>
      </c>
      <c r="U24" s="5">
        <f t="shared" si="1"/>
        <v>12.266080945993851</v>
      </c>
      <c r="V24" s="5">
        <f t="shared" si="2"/>
        <v>-2.27995647930964</v>
      </c>
      <c r="W24" s="5">
        <f t="shared" si="3"/>
        <v>7.194536756524353</v>
      </c>
      <c r="X24" s="5">
        <f t="shared" si="4"/>
        <v>0.7723816773602044</v>
      </c>
      <c r="Y24" s="5">
        <f t="shared" si="5"/>
        <v>-1.13993682541131</v>
      </c>
      <c r="Z24" s="5">
        <f t="shared" si="6"/>
        <v>-1.13993682541131</v>
      </c>
      <c r="AA24" s="5">
        <f t="shared" si="7"/>
        <v>-7.517734302103039</v>
      </c>
      <c r="AB24" s="5">
        <f t="shared" si="8"/>
        <v>-0.43085950138358653</v>
      </c>
      <c r="AC24" s="5">
        <f t="shared" si="9"/>
        <v>1.007244878271401</v>
      </c>
      <c r="AD24" s="5">
        <f t="shared" si="10"/>
        <v>1.7828613297579754</v>
      </c>
      <c r="AE24" s="4">
        <f t="shared" si="11"/>
        <v>197.2615892200327</v>
      </c>
      <c r="AF24" s="4">
        <f t="shared" si="12"/>
        <v>40.35636666424423</v>
      </c>
      <c r="AG24" s="4">
        <f t="shared" si="13"/>
        <v>109.66687706505732</v>
      </c>
      <c r="AH24" s="4"/>
      <c r="AI24" s="34" t="str">
        <f t="shared" si="14"/>
        <v>-</v>
      </c>
      <c r="AJ24" s="81">
        <f t="shared" si="15"/>
        <v>0.8</v>
      </c>
      <c r="AK24" s="35">
        <f t="shared" si="16"/>
        <v>7.517734302103039</v>
      </c>
      <c r="AL24" s="35">
        <f t="shared" si="17"/>
        <v>24.686430992390562</v>
      </c>
      <c r="AM24" s="36">
        <f t="shared" si="18"/>
        <v>197.2615892200327</v>
      </c>
      <c r="AN24" s="35">
        <f t="shared" si="19"/>
        <v>2.522272916515264</v>
      </c>
      <c r="AO24" s="37">
        <f t="shared" si="20"/>
        <v>109.66687706505732</v>
      </c>
      <c r="AQ24" s="34">
        <v>0.8</v>
      </c>
      <c r="AR24" s="149">
        <f ca="1" t="shared" si="22"/>
        <v>0.17244662059002636</v>
      </c>
      <c r="AS24" s="143">
        <f ca="1" t="shared" si="21"/>
        <v>0.1272170865075383</v>
      </c>
    </row>
    <row r="25" spans="2:45" ht="13.5" customHeight="1">
      <c r="B25" s="14" t="s">
        <v>72</v>
      </c>
      <c r="C25" s="48">
        <f>MAX(AG5:AG26)</f>
        <v>119.21780259048167</v>
      </c>
      <c r="D25" s="41" t="s">
        <v>63</v>
      </c>
      <c r="E25" s="15"/>
      <c r="G25" s="7"/>
      <c r="H25" s="7"/>
      <c r="I25" s="7"/>
      <c r="S25" s="3">
        <v>-0.9</v>
      </c>
      <c r="T25" s="5">
        <f t="shared" si="0"/>
        <v>-0.7011839172511773</v>
      </c>
      <c r="U25" s="5">
        <f t="shared" si="1"/>
        <v>12.456169124232368</v>
      </c>
      <c r="V25" s="5">
        <f t="shared" si="2"/>
        <v>-2.0737785885937763</v>
      </c>
      <c r="W25" s="5">
        <f t="shared" si="3"/>
        <v>7.574713113001387</v>
      </c>
      <c r="X25" s="5">
        <f t="shared" si="4"/>
        <v>0.7625060751141114</v>
      </c>
      <c r="Y25" s="5">
        <f t="shared" si="5"/>
        <v>-1.0924519795300858</v>
      </c>
      <c r="Z25" s="5">
        <f t="shared" si="6"/>
        <v>-1.0924519795300858</v>
      </c>
      <c r="AA25" s="5">
        <f t="shared" si="7"/>
        <v>-8.285579779162658</v>
      </c>
      <c r="AB25" s="5">
        <f t="shared" si="8"/>
        <v>-0.47834434726481073</v>
      </c>
      <c r="AC25" s="5">
        <f t="shared" si="9"/>
        <v>0.9300050265840859</v>
      </c>
      <c r="AD25" s="5">
        <f t="shared" si="10"/>
        <v>1.820319564726799</v>
      </c>
      <c r="AE25" s="4">
        <f t="shared" si="11"/>
        <v>217.4094706153385</v>
      </c>
      <c r="AF25" s="4">
        <f t="shared" si="12"/>
        <v>44.87155429502753</v>
      </c>
      <c r="AG25" s="4">
        <f t="shared" si="13"/>
        <v>115.62753977033573</v>
      </c>
      <c r="AH25" s="4"/>
      <c r="AI25" s="34" t="str">
        <f t="shared" si="14"/>
        <v>-</v>
      </c>
      <c r="AJ25" s="81">
        <f t="shared" si="15"/>
        <v>0.9</v>
      </c>
      <c r="AK25" s="35">
        <f t="shared" si="16"/>
        <v>8.285579779162658</v>
      </c>
      <c r="AL25" s="35">
        <f t="shared" si="17"/>
        <v>27.407112252213878</v>
      </c>
      <c r="AM25" s="36">
        <f t="shared" si="18"/>
        <v>217.4094706153385</v>
      </c>
      <c r="AN25" s="35">
        <f t="shared" si="19"/>
        <v>2.8044721434392206</v>
      </c>
      <c r="AO25" s="37">
        <f t="shared" si="20"/>
        <v>115.62753977033573</v>
      </c>
      <c r="AQ25" s="34">
        <v>0.9</v>
      </c>
      <c r="AR25" s="149">
        <f ca="1" t="shared" si="22"/>
        <v>0.12032141470362134</v>
      </c>
      <c r="AS25" s="143">
        <f ca="1" t="shared" si="21"/>
        <v>0.08417060360609376</v>
      </c>
    </row>
    <row r="26" spans="2:45" ht="13.5" customHeight="1" thickBot="1">
      <c r="B26" s="25" t="s">
        <v>73</v>
      </c>
      <c r="C26" s="77">
        <f>MAX(AE5:AE26)</f>
        <v>236.1555000000001</v>
      </c>
      <c r="D26" s="26" t="s">
        <v>63</v>
      </c>
      <c r="E26" s="27"/>
      <c r="F26" s="7"/>
      <c r="G26" s="7"/>
      <c r="H26" s="7"/>
      <c r="I26" s="7"/>
      <c r="S26" s="3">
        <v>-1</v>
      </c>
      <c r="T26" s="5">
        <f t="shared" si="0"/>
        <v>-0.6139174546514609</v>
      </c>
      <c r="U26" s="5">
        <f t="shared" si="1"/>
        <v>12.627564372360013</v>
      </c>
      <c r="V26" s="5">
        <f t="shared" si="2"/>
        <v>-1.851817990636966</v>
      </c>
      <c r="W26" s="5">
        <f t="shared" si="3"/>
        <v>7.917503609256677</v>
      </c>
      <c r="X26" s="5">
        <f t="shared" si="4"/>
        <v>0.7559756425414872</v>
      </c>
      <c r="Y26" s="5">
        <f t="shared" si="5"/>
        <v>-1.0471975511965974</v>
      </c>
      <c r="Z26" s="5">
        <f t="shared" si="6"/>
        <v>-1.0471975511965974</v>
      </c>
      <c r="AA26" s="5">
        <f t="shared" si="7"/>
        <v>-9.000000000000004</v>
      </c>
      <c r="AB26" s="5">
        <f t="shared" si="8"/>
        <v>-0.5235987755982991</v>
      </c>
      <c r="AC26" s="5">
        <f t="shared" si="9"/>
        <v>0.8539104552932222</v>
      </c>
      <c r="AD26" s="5">
        <f t="shared" si="10"/>
        <v>1.8544021017514343</v>
      </c>
      <c r="AE26" s="4">
        <f t="shared" si="11"/>
        <v>236.1555000000001</v>
      </c>
      <c r="AF26" s="4">
        <f t="shared" si="12"/>
        <v>49.196360975889704</v>
      </c>
      <c r="AG26" s="4">
        <f t="shared" si="13"/>
        <v>119.21780259048167</v>
      </c>
      <c r="AI26" s="49" t="str">
        <f t="shared" si="14"/>
        <v>-</v>
      </c>
      <c r="AJ26" s="82">
        <f t="shared" si="15"/>
        <v>1</v>
      </c>
      <c r="AK26" s="28">
        <f t="shared" si="16"/>
        <v>9.000000000000004</v>
      </c>
      <c r="AL26" s="28">
        <f t="shared" si="17"/>
        <v>30.000000000000018</v>
      </c>
      <c r="AM26" s="50">
        <f t="shared" si="18"/>
        <v>236.1555000000001</v>
      </c>
      <c r="AN26" s="28">
        <f t="shared" si="19"/>
        <v>3.0747725609931065</v>
      </c>
      <c r="AO26" s="51">
        <f t="shared" si="20"/>
        <v>119.21780259048167</v>
      </c>
      <c r="AQ26" s="49">
        <v>1</v>
      </c>
      <c r="AR26" s="150">
        <f ca="1" t="shared" si="22"/>
        <v>-5.684341886080802E-14</v>
      </c>
      <c r="AS26" s="144">
        <f ca="1" t="shared" si="21"/>
        <v>-3.7395183105600814E-14</v>
      </c>
    </row>
    <row r="27" spans="2:21" ht="13.5" customHeight="1" thickBot="1">
      <c r="B27" s="38" t="s">
        <v>74</v>
      </c>
      <c r="C27" s="78">
        <f>MAX(AF5:AF26)/16</f>
        <v>3.936426905065231</v>
      </c>
      <c r="D27" s="39" t="s">
        <v>64</v>
      </c>
      <c r="E27" s="40"/>
      <c r="F27" s="7"/>
      <c r="G27" s="7"/>
      <c r="H27" s="7"/>
      <c r="I27" s="7"/>
      <c r="T27" s="1"/>
      <c r="U27" s="1"/>
    </row>
    <row r="28" spans="6:43" ht="13.5" customHeight="1" thickBot="1">
      <c r="F28" s="7"/>
      <c r="T28" s="1"/>
      <c r="U28" s="1"/>
      <c r="AP28" s="10" t="s">
        <v>207</v>
      </c>
      <c r="AQ28" s="8"/>
    </row>
    <row r="29" spans="2:43" ht="13.5" customHeight="1">
      <c r="B29" s="14" t="s">
        <v>68</v>
      </c>
      <c r="C29" s="138">
        <f>DEGREES(ACOS(($Q$24^2+$Q$20^2-($Q$4+$Q$16*COS($Q17)-$Q$6)^2-($Q$5+$Q$16*SIN($Q17)-$Q$7)^2)/(2*$Q$20*$Q$24)))</f>
        <v>95.09855257999139</v>
      </c>
      <c r="D29" s="41" t="s">
        <v>61</v>
      </c>
      <c r="E29" s="15"/>
      <c r="T29" s="1"/>
      <c r="U29" s="1"/>
      <c r="AI29" s="9"/>
      <c r="AP29" s="10" t="s">
        <v>208</v>
      </c>
      <c r="AQ29" s="8"/>
    </row>
    <row r="30" spans="2:42" ht="13.5" customHeight="1">
      <c r="B30" s="25" t="s">
        <v>171</v>
      </c>
      <c r="C30" s="79">
        <f>ABS(DEGREES(ASIN(SIN($Q$21))))</f>
        <v>85.17487912094273</v>
      </c>
      <c r="D30" s="26" t="s">
        <v>61</v>
      </c>
      <c r="E30" s="27"/>
      <c r="T30" s="1"/>
      <c r="U30" s="1"/>
      <c r="AP30" s="8" t="s">
        <v>176</v>
      </c>
    </row>
    <row r="31" spans="2:42" ht="13.5" customHeight="1">
      <c r="B31" s="25" t="s">
        <v>23</v>
      </c>
      <c r="C31" s="79">
        <f>$Q$20</f>
        <v>3.2145488643575466</v>
      </c>
      <c r="D31" s="26" t="s">
        <v>60</v>
      </c>
      <c r="E31" s="27"/>
      <c r="T31" s="1"/>
      <c r="U31" s="1"/>
      <c r="AP31" s="8" t="s">
        <v>175</v>
      </c>
    </row>
    <row r="32" spans="2:42" ht="13.5" customHeight="1" thickBot="1">
      <c r="B32" s="38" t="s">
        <v>28</v>
      </c>
      <c r="C32" s="78">
        <f>$Q$24</f>
        <v>10.426388433008617</v>
      </c>
      <c r="D32" s="39" t="s">
        <v>60</v>
      </c>
      <c r="E32" s="40"/>
      <c r="T32" s="1"/>
      <c r="U32" s="1"/>
      <c r="AP32" s="8" t="s">
        <v>204</v>
      </c>
    </row>
    <row r="33" spans="7:21" ht="13.5" customHeight="1">
      <c r="G33" s="10" t="s">
        <v>211</v>
      </c>
      <c r="T33" s="1"/>
      <c r="U33" s="1"/>
    </row>
    <row r="34" spans="20:21" ht="13.5" customHeight="1">
      <c r="T34" s="1"/>
      <c r="U34" s="1"/>
    </row>
    <row r="35" spans="20:21" ht="13.5" customHeight="1">
      <c r="T35" s="1"/>
      <c r="U35" s="1"/>
    </row>
    <row r="36" spans="20:21" ht="13.5" customHeight="1">
      <c r="T36" s="1"/>
      <c r="U36" s="1"/>
    </row>
  </sheetData>
  <sheetProtection sheet="1" objects="1" scenarios="1"/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2:Z27"/>
  <sheetViews>
    <sheetView workbookViewId="0" topLeftCell="A2">
      <selection activeCell="D19" sqref="D19"/>
    </sheetView>
  </sheetViews>
  <sheetFormatPr defaultColWidth="9.140625" defaultRowHeight="12.75"/>
  <cols>
    <col min="1" max="1" width="2.8515625" style="173" customWidth="1"/>
    <col min="2" max="2" width="9.7109375" style="173" customWidth="1"/>
    <col min="3" max="3" width="9.00390625" style="173" bestFit="1" customWidth="1"/>
    <col min="4" max="4" width="6.140625" style="173" bestFit="1" customWidth="1"/>
    <col min="5" max="5" width="6.140625" style="173" customWidth="1"/>
    <col min="6" max="6" width="14.7109375" style="173" bestFit="1" customWidth="1"/>
    <col min="7" max="7" width="16.421875" style="173" bestFit="1" customWidth="1"/>
    <col min="8" max="8" width="11.8515625" style="173" bestFit="1" customWidth="1"/>
    <col min="9" max="9" width="11.8515625" style="173" customWidth="1"/>
    <col min="10" max="10" width="15.421875" style="173" bestFit="1" customWidth="1"/>
    <col min="11" max="11" width="3.140625" style="173" customWidth="1"/>
    <col min="12" max="12" width="31.8515625" style="173" customWidth="1"/>
    <col min="13" max="13" width="5.00390625" style="173" bestFit="1" customWidth="1"/>
    <col min="14" max="14" width="2.28125" style="173" bestFit="1" customWidth="1"/>
    <col min="15" max="15" width="9.140625" style="173" customWidth="1"/>
    <col min="16" max="16" width="14.8515625" style="173" bestFit="1" customWidth="1"/>
    <col min="17" max="25" width="7.57421875" style="173" customWidth="1"/>
    <col min="26" max="16384" width="9.140625" style="173" customWidth="1"/>
  </cols>
  <sheetData>
    <row r="2" ht="12.75">
      <c r="B2" s="172" t="s">
        <v>197</v>
      </c>
    </row>
    <row r="3" ht="12.75" customHeight="1"/>
    <row r="4" spans="2:25" ht="12.75">
      <c r="B4" s="173" t="s">
        <v>177</v>
      </c>
      <c r="L4" s="174" t="s">
        <v>190</v>
      </c>
      <c r="M4" s="212">
        <v>65</v>
      </c>
      <c r="N4" s="173" t="s">
        <v>191</v>
      </c>
      <c r="P4" s="190" t="s">
        <v>229</v>
      </c>
      <c r="Q4" s="213">
        <v>10</v>
      </c>
      <c r="R4" s="189"/>
      <c r="S4" s="189"/>
      <c r="T4" s="189"/>
      <c r="U4" s="189"/>
      <c r="V4" s="189"/>
      <c r="W4" s="189"/>
      <c r="X4" s="189"/>
      <c r="Y4" s="189"/>
    </row>
    <row r="5" spans="2:25" ht="12.75">
      <c r="B5" s="173" t="s">
        <v>205</v>
      </c>
      <c r="L5" s="174" t="s">
        <v>190</v>
      </c>
      <c r="M5" s="175">
        <f>IF(N4="F",(M4-32)*5/9+273.15,M4+273.15)</f>
        <v>291.4833333333333</v>
      </c>
      <c r="N5" s="173" t="s">
        <v>192</v>
      </c>
      <c r="P5" s="190" t="s">
        <v>231</v>
      </c>
      <c r="Q5" s="213">
        <v>1.11</v>
      </c>
      <c r="R5" s="189"/>
      <c r="S5" s="189"/>
      <c r="T5" s="189"/>
      <c r="U5" s="189"/>
      <c r="V5" s="189"/>
      <c r="W5" s="189"/>
      <c r="X5" s="189"/>
      <c r="Y5" s="189"/>
    </row>
    <row r="6" spans="12:25" ht="13.5" thickBot="1">
      <c r="L6" s="174" t="s">
        <v>193</v>
      </c>
      <c r="M6" s="176">
        <v>1.4</v>
      </c>
      <c r="P6" s="189"/>
      <c r="Q6" s="189"/>
      <c r="R6" s="189"/>
      <c r="S6" s="189"/>
      <c r="T6" s="189"/>
      <c r="U6" s="189"/>
      <c r="V6" s="189"/>
      <c r="W6" s="189"/>
      <c r="X6" s="189"/>
      <c r="Y6" s="189"/>
    </row>
    <row r="7" spans="2:26" ht="12.75">
      <c r="B7" s="177" t="s">
        <v>228</v>
      </c>
      <c r="C7" s="177" t="s">
        <v>213</v>
      </c>
      <c r="D7" s="177" t="s">
        <v>225</v>
      </c>
      <c r="E7" s="177" t="s">
        <v>217</v>
      </c>
      <c r="F7" s="177" t="s">
        <v>226</v>
      </c>
      <c r="G7" s="177" t="s">
        <v>227</v>
      </c>
      <c r="H7" s="177" t="s">
        <v>224</v>
      </c>
      <c r="I7" s="177" t="s">
        <v>279</v>
      </c>
      <c r="J7" s="177" t="s">
        <v>345</v>
      </c>
      <c r="P7" s="253" t="s">
        <v>230</v>
      </c>
      <c r="Q7" s="254"/>
      <c r="R7" s="254"/>
      <c r="S7" s="254"/>
      <c r="T7" s="254"/>
      <c r="U7" s="254"/>
      <c r="V7" s="254"/>
      <c r="W7" s="254"/>
      <c r="X7" s="254"/>
      <c r="Y7" s="254"/>
      <c r="Z7" s="255"/>
    </row>
    <row r="8" spans="2:26" ht="12.75">
      <c r="B8" s="211">
        <v>10</v>
      </c>
      <c r="C8" s="211">
        <v>6</v>
      </c>
      <c r="D8" s="211">
        <v>10</v>
      </c>
      <c r="E8" s="211">
        <v>1.11</v>
      </c>
      <c r="F8" s="186">
        <f>C8*D8*1000*60/(12*5280)</f>
        <v>56.81818181818182</v>
      </c>
      <c r="G8" s="187">
        <f>B8*PI()*D8*1000*2.54/(100*60)*SQRT(0.0286/($M$6*8.314*$M$5))</f>
        <v>0.38613526247617014</v>
      </c>
      <c r="H8" s="187">
        <f>E8*C8*B8^4*D8^3/746/12^5</f>
        <v>0.35878078145169295</v>
      </c>
      <c r="I8" s="187">
        <f aca="true" t="shared" si="0" ref="I8:I21">H8*550*60/(D8*1000)</f>
        <v>1.1839765787905867</v>
      </c>
      <c r="J8" s="186">
        <f>B8*D8*E8*0.3/1.11+C8+48</f>
        <v>84</v>
      </c>
      <c r="L8" s="173" t="s">
        <v>206</v>
      </c>
      <c r="P8" s="191" t="s">
        <v>232</v>
      </c>
      <c r="Q8" s="192">
        <v>3</v>
      </c>
      <c r="R8" s="192">
        <v>4</v>
      </c>
      <c r="S8" s="192">
        <v>5</v>
      </c>
      <c r="T8" s="192">
        <v>6</v>
      </c>
      <c r="U8" s="192">
        <v>7</v>
      </c>
      <c r="V8" s="192">
        <v>8</v>
      </c>
      <c r="W8" s="192">
        <v>9</v>
      </c>
      <c r="X8" s="192">
        <v>10</v>
      </c>
      <c r="Y8" s="192">
        <v>11</v>
      </c>
      <c r="Z8" s="193">
        <v>12</v>
      </c>
    </row>
    <row r="9" spans="2:26" ht="12.75">
      <c r="B9" s="211">
        <v>9</v>
      </c>
      <c r="C9" s="211">
        <v>5</v>
      </c>
      <c r="D9" s="211">
        <v>12</v>
      </c>
      <c r="E9" s="211">
        <v>1.11</v>
      </c>
      <c r="F9" s="186">
        <f>C9*D9*1000*60/(12*5280)</f>
        <v>56.81818181818182</v>
      </c>
      <c r="G9" s="187">
        <f>B9*PI()*D9*1000*2.54/(100*60)*SQRT(0.0286/($M$6*8.314*$M$5))</f>
        <v>0.41702608347426373</v>
      </c>
      <c r="H9" s="187">
        <f aca="true" t="shared" si="1" ref="H9:H21">E9*C9*B9^4*D9^3/746/12^5</f>
        <v>0.33897034182305635</v>
      </c>
      <c r="I9" s="187">
        <f t="shared" si="0"/>
        <v>0.9321684400134049</v>
      </c>
      <c r="J9" s="186">
        <f aca="true" t="shared" si="2" ref="J9:J21">B9*D9*E9*0.3/1.11+C9+48</f>
        <v>85.4</v>
      </c>
      <c r="L9" s="173" t="s">
        <v>214</v>
      </c>
      <c r="P9" s="191">
        <v>7</v>
      </c>
      <c r="Q9" s="194">
        <f aca="true" t="shared" si="3" ref="Q9:Z9">$P9^4*Q$8*$Q$4^3*$Q$5/12^5/746</f>
        <v>0.04307163281327575</v>
      </c>
      <c r="R9" s="194">
        <f>$P9^4*R$8*$Q$4^3*$Q$5/12^5/746</f>
        <v>0.05742884375103434</v>
      </c>
      <c r="S9" s="194">
        <f t="shared" si="3"/>
        <v>0.07178605468879291</v>
      </c>
      <c r="T9" s="194">
        <f t="shared" si="3"/>
        <v>0.0861432656265515</v>
      </c>
      <c r="U9" s="194">
        <f t="shared" si="3"/>
        <v>0.10050047656431006</v>
      </c>
      <c r="V9" s="194">
        <f t="shared" si="3"/>
        <v>0.11485768750206868</v>
      </c>
      <c r="W9" s="194">
        <f t="shared" si="3"/>
        <v>0.12921489843982725</v>
      </c>
      <c r="X9" s="194">
        <f t="shared" si="3"/>
        <v>0.14357210937758583</v>
      </c>
      <c r="Y9" s="194">
        <f t="shared" si="3"/>
        <v>0.1579293203153444</v>
      </c>
      <c r="Z9" s="195">
        <f t="shared" si="3"/>
        <v>0.172286531253103</v>
      </c>
    </row>
    <row r="10" spans="2:26" ht="12.75">
      <c r="B10" s="211">
        <v>10</v>
      </c>
      <c r="C10" s="211">
        <v>6</v>
      </c>
      <c r="D10" s="211">
        <v>15</v>
      </c>
      <c r="E10" s="211">
        <v>1.11</v>
      </c>
      <c r="F10" s="186">
        <f>C10*D10*1000*60/(12*5280)</f>
        <v>85.22727272727273</v>
      </c>
      <c r="G10" s="187">
        <f>B10*PI()*D10*1000*2.54/(100*60)*SQRT(0.0286/($M$6*8.314*$M$5))</f>
        <v>0.5792028937142552</v>
      </c>
      <c r="H10" s="187">
        <f t="shared" si="1"/>
        <v>1.2108851373994638</v>
      </c>
      <c r="I10" s="187">
        <f t="shared" si="0"/>
        <v>2.66394730227882</v>
      </c>
      <c r="J10" s="186">
        <f t="shared" si="2"/>
        <v>99</v>
      </c>
      <c r="P10" s="191">
        <v>8</v>
      </c>
      <c r="Q10" s="194">
        <f aca="true" t="shared" si="4" ref="Q10:Z22">$P10^4*Q$8*$Q$4^3*$Q$5/12^5/746</f>
        <v>0.07347830404130673</v>
      </c>
      <c r="R10" s="194">
        <f t="shared" si="4"/>
        <v>0.09797107205507563</v>
      </c>
      <c r="S10" s="194">
        <f t="shared" si="4"/>
        <v>0.12246384006884456</v>
      </c>
      <c r="T10" s="194">
        <f t="shared" si="4"/>
        <v>0.14695660808261346</v>
      </c>
      <c r="U10" s="194">
        <f t="shared" si="4"/>
        <v>0.1714493760963824</v>
      </c>
      <c r="V10" s="194">
        <f t="shared" si="4"/>
        <v>0.19594214411015126</v>
      </c>
      <c r="W10" s="194">
        <f t="shared" si="4"/>
        <v>0.2204349121239202</v>
      </c>
      <c r="X10" s="194">
        <f t="shared" si="4"/>
        <v>0.24492768013768912</v>
      </c>
      <c r="Y10" s="194">
        <f t="shared" si="4"/>
        <v>0.269420448151458</v>
      </c>
      <c r="Z10" s="195">
        <f t="shared" si="4"/>
        <v>0.2939132161652269</v>
      </c>
    </row>
    <row r="11" spans="2:26" ht="12.75">
      <c r="B11" s="211">
        <v>11</v>
      </c>
      <c r="C11" s="211">
        <v>4</v>
      </c>
      <c r="D11" s="211">
        <v>14</v>
      </c>
      <c r="E11" s="211">
        <v>1.11</v>
      </c>
      <c r="F11" s="186">
        <f>C11*D11*1000*60/(12*5280)</f>
        <v>53.03030303030303</v>
      </c>
      <c r="G11" s="187">
        <f>B11*PI()*D11*1000*2.54/(100*60)*SQRT(0.0286/($M$6*8.314*$M$5))</f>
        <v>0.5946483042133018</v>
      </c>
      <c r="H11" s="187">
        <f t="shared" si="1"/>
        <v>0.9609322301244498</v>
      </c>
      <c r="I11" s="187">
        <f t="shared" si="0"/>
        <v>2.265054542436203</v>
      </c>
      <c r="J11" s="186">
        <f t="shared" si="2"/>
        <v>98.19999999999999</v>
      </c>
      <c r="L11" s="173" t="s">
        <v>196</v>
      </c>
      <c r="P11" s="191">
        <v>9</v>
      </c>
      <c r="Q11" s="194">
        <f t="shared" si="4"/>
        <v>0.1176980353552279</v>
      </c>
      <c r="R11" s="194">
        <f t="shared" si="4"/>
        <v>0.15693071380697052</v>
      </c>
      <c r="S11" s="194">
        <f t="shared" si="4"/>
        <v>0.19616339225871313</v>
      </c>
      <c r="T11" s="194">
        <f t="shared" si="4"/>
        <v>0.2353960707104558</v>
      </c>
      <c r="U11" s="194">
        <f t="shared" si="4"/>
        <v>0.2746287491621984</v>
      </c>
      <c r="V11" s="194">
        <f t="shared" si="4"/>
        <v>0.31386142761394104</v>
      </c>
      <c r="W11" s="194">
        <f t="shared" si="4"/>
        <v>0.3530941060656837</v>
      </c>
      <c r="X11" s="194">
        <f t="shared" si="4"/>
        <v>0.39232678451742625</v>
      </c>
      <c r="Y11" s="194">
        <f t="shared" si="4"/>
        <v>0.4315594629691689</v>
      </c>
      <c r="Z11" s="195">
        <f t="shared" si="4"/>
        <v>0.4707921414209116</v>
      </c>
    </row>
    <row r="12" spans="2:26" ht="12.75" customHeight="1">
      <c r="B12" s="211">
        <v>11</v>
      </c>
      <c r="C12" s="211">
        <v>11</v>
      </c>
      <c r="D12" s="211">
        <v>10</v>
      </c>
      <c r="E12" s="211">
        <v>1.11</v>
      </c>
      <c r="F12" s="186">
        <f>C12*D12*1000*60/(12*5280)</f>
        <v>104.16666666666667</v>
      </c>
      <c r="G12" s="187">
        <f>B12*PI()*D12*1000*2.54/(100*60)*SQRT(0.0286/($M$6*8.314*$M$5))</f>
        <v>0.4247487887237871</v>
      </c>
      <c r="H12" s="187">
        <f t="shared" si="1"/>
        <v>0.9630333938929435</v>
      </c>
      <c r="I12" s="187">
        <f t="shared" si="0"/>
        <v>3.178010199846714</v>
      </c>
      <c r="J12" s="186">
        <f t="shared" si="2"/>
        <v>92</v>
      </c>
      <c r="L12" s="173" t="s">
        <v>194</v>
      </c>
      <c r="P12" s="191">
        <v>10</v>
      </c>
      <c r="Q12" s="194">
        <f t="shared" si="4"/>
        <v>0.1793903907258465</v>
      </c>
      <c r="R12" s="194">
        <f t="shared" si="4"/>
        <v>0.239187187634462</v>
      </c>
      <c r="S12" s="194">
        <f t="shared" si="4"/>
        <v>0.2989839845430775</v>
      </c>
      <c r="T12" s="194">
        <f t="shared" si="4"/>
        <v>0.358780781451693</v>
      </c>
      <c r="U12" s="194">
        <f t="shared" si="4"/>
        <v>0.41857757836030846</v>
      </c>
      <c r="V12" s="194">
        <f t="shared" si="4"/>
        <v>0.478374375268924</v>
      </c>
      <c r="W12" s="194">
        <f t="shared" si="4"/>
        <v>0.5381711721775395</v>
      </c>
      <c r="X12" s="194">
        <f t="shared" si="4"/>
        <v>0.597967969086155</v>
      </c>
      <c r="Y12" s="194">
        <f t="shared" si="4"/>
        <v>0.6577647659947705</v>
      </c>
      <c r="Z12" s="195">
        <f t="shared" si="4"/>
        <v>0.717561562903386</v>
      </c>
    </row>
    <row r="13" spans="2:26" ht="12.75">
      <c r="B13" s="211">
        <v>12</v>
      </c>
      <c r="C13" s="211">
        <v>8</v>
      </c>
      <c r="D13" s="211">
        <v>10</v>
      </c>
      <c r="E13" s="211">
        <v>1.11</v>
      </c>
      <c r="F13" s="186">
        <f aca="true" t="shared" si="5" ref="F13:F21">C13*D13*1000*60/(12*5280)</f>
        <v>75.75757575757575</v>
      </c>
      <c r="G13" s="187">
        <f aca="true" t="shared" si="6" ref="G13:G21">B13*PI()*D13*1000*2.54/(100*60)*SQRT(0.0286/($M$6*8.314*$M$5))</f>
        <v>0.463362314971404</v>
      </c>
      <c r="H13" s="187">
        <f t="shared" si="1"/>
        <v>0.9919571045576409</v>
      </c>
      <c r="I13" s="187">
        <f t="shared" si="0"/>
        <v>3.2734584450402147</v>
      </c>
      <c r="J13" s="186">
        <f t="shared" si="2"/>
        <v>92</v>
      </c>
      <c r="P13" s="191">
        <v>11</v>
      </c>
      <c r="Q13" s="194">
        <f t="shared" si="4"/>
        <v>0.2626454710617119</v>
      </c>
      <c r="R13" s="194">
        <f t="shared" si="4"/>
        <v>0.3501939614156159</v>
      </c>
      <c r="S13" s="194">
        <f t="shared" si="4"/>
        <v>0.43774245176951976</v>
      </c>
      <c r="T13" s="194">
        <f t="shared" si="4"/>
        <v>0.5252909421234238</v>
      </c>
      <c r="U13" s="194">
        <f t="shared" si="4"/>
        <v>0.6128394324773278</v>
      </c>
      <c r="V13" s="194">
        <f t="shared" si="4"/>
        <v>0.7003879228312317</v>
      </c>
      <c r="W13" s="194">
        <f t="shared" si="4"/>
        <v>0.7879364131851355</v>
      </c>
      <c r="X13" s="194">
        <f t="shared" si="4"/>
        <v>0.8754849035390395</v>
      </c>
      <c r="Y13" s="194">
        <f t="shared" si="4"/>
        <v>0.9630333938929436</v>
      </c>
      <c r="Z13" s="195">
        <f t="shared" si="4"/>
        <v>1.0505818842468475</v>
      </c>
    </row>
    <row r="14" spans="2:26" ht="12.75">
      <c r="B14" s="211">
        <v>13</v>
      </c>
      <c r="C14" s="211">
        <v>8</v>
      </c>
      <c r="D14" s="211">
        <v>10</v>
      </c>
      <c r="E14" s="211">
        <v>1.11</v>
      </c>
      <c r="F14" s="186">
        <f t="shared" si="5"/>
        <v>75.75757575757575</v>
      </c>
      <c r="G14" s="187">
        <f t="shared" si="6"/>
        <v>0.5019758412190212</v>
      </c>
      <c r="H14" s="187">
        <f t="shared" si="1"/>
        <v>1.3662850532055741</v>
      </c>
      <c r="I14" s="187">
        <f t="shared" si="0"/>
        <v>4.5087406755783945</v>
      </c>
      <c r="J14" s="186">
        <f t="shared" si="2"/>
        <v>95</v>
      </c>
      <c r="L14" s="173" t="s">
        <v>195</v>
      </c>
      <c r="P14" s="191">
        <v>12</v>
      </c>
      <c r="Q14" s="194">
        <f t="shared" si="4"/>
        <v>0.3719839142091153</v>
      </c>
      <c r="R14" s="194">
        <f t="shared" si="4"/>
        <v>0.49597855227882043</v>
      </c>
      <c r="S14" s="194">
        <f t="shared" si="4"/>
        <v>0.6199731903485255</v>
      </c>
      <c r="T14" s="194">
        <f t="shared" si="4"/>
        <v>0.7439678284182306</v>
      </c>
      <c r="U14" s="194">
        <f t="shared" si="4"/>
        <v>0.8679624664879356</v>
      </c>
      <c r="V14" s="194">
        <f t="shared" si="4"/>
        <v>0.9919571045576409</v>
      </c>
      <c r="W14" s="194">
        <f t="shared" si="4"/>
        <v>1.115951742627346</v>
      </c>
      <c r="X14" s="194">
        <f t="shared" si="4"/>
        <v>1.239946380697051</v>
      </c>
      <c r="Y14" s="194">
        <f t="shared" si="4"/>
        <v>1.3639410187667562</v>
      </c>
      <c r="Z14" s="195">
        <f t="shared" si="4"/>
        <v>1.4879356568364612</v>
      </c>
    </row>
    <row r="15" spans="2:26" ht="12.75">
      <c r="B15" s="211">
        <v>12</v>
      </c>
      <c r="C15" s="211">
        <v>10</v>
      </c>
      <c r="D15" s="211">
        <v>10</v>
      </c>
      <c r="E15" s="211">
        <v>1.11</v>
      </c>
      <c r="F15" s="186">
        <f t="shared" si="5"/>
        <v>94.6969696969697</v>
      </c>
      <c r="G15" s="187">
        <f t="shared" si="6"/>
        <v>0.463362314971404</v>
      </c>
      <c r="H15" s="187">
        <f t="shared" si="1"/>
        <v>1.239946380697051</v>
      </c>
      <c r="I15" s="187">
        <f t="shared" si="0"/>
        <v>4.091823056300268</v>
      </c>
      <c r="J15" s="186">
        <f t="shared" si="2"/>
        <v>94</v>
      </c>
      <c r="L15" s="173" t="s">
        <v>215</v>
      </c>
      <c r="P15" s="191">
        <v>13</v>
      </c>
      <c r="Q15" s="194">
        <f t="shared" si="4"/>
        <v>0.5123568949520902</v>
      </c>
      <c r="R15" s="194">
        <f t="shared" si="4"/>
        <v>0.683142526602787</v>
      </c>
      <c r="S15" s="194">
        <f t="shared" si="4"/>
        <v>0.8539281582534836</v>
      </c>
      <c r="T15" s="194">
        <f t="shared" si="4"/>
        <v>1.0247137899041805</v>
      </c>
      <c r="U15" s="194">
        <f t="shared" si="4"/>
        <v>1.195499421554877</v>
      </c>
      <c r="V15" s="194">
        <f t="shared" si="4"/>
        <v>1.366285053205574</v>
      </c>
      <c r="W15" s="194">
        <f t="shared" si="4"/>
        <v>1.5370706848562705</v>
      </c>
      <c r="X15" s="194">
        <f t="shared" si="4"/>
        <v>1.7078563165069671</v>
      </c>
      <c r="Y15" s="194">
        <f t="shared" si="4"/>
        <v>1.8786419481576642</v>
      </c>
      <c r="Z15" s="195">
        <f t="shared" si="4"/>
        <v>2.049427579808361</v>
      </c>
    </row>
    <row r="16" spans="2:26" ht="13.5" thickBot="1">
      <c r="B16" s="211">
        <v>14</v>
      </c>
      <c r="C16" s="211">
        <v>6</v>
      </c>
      <c r="D16" s="211">
        <v>10</v>
      </c>
      <c r="E16" s="211">
        <v>1.11</v>
      </c>
      <c r="F16" s="186">
        <f t="shared" si="5"/>
        <v>56.81818181818182</v>
      </c>
      <c r="G16" s="187">
        <f t="shared" si="6"/>
        <v>0.5405893674666381</v>
      </c>
      <c r="H16" s="187">
        <f t="shared" si="1"/>
        <v>1.3782922500248238</v>
      </c>
      <c r="I16" s="187">
        <f t="shared" si="0"/>
        <v>4.548364425081918</v>
      </c>
      <c r="J16" s="186">
        <f t="shared" si="2"/>
        <v>96</v>
      </c>
      <c r="P16" s="191">
        <v>14</v>
      </c>
      <c r="Q16" s="194">
        <f t="shared" si="4"/>
        <v>0.689146125012412</v>
      </c>
      <c r="R16" s="194">
        <f t="shared" si="4"/>
        <v>0.9188615000165494</v>
      </c>
      <c r="S16" s="194">
        <f t="shared" si="4"/>
        <v>1.1485768750206866</v>
      </c>
      <c r="T16" s="194">
        <f t="shared" si="4"/>
        <v>1.378292250024824</v>
      </c>
      <c r="U16" s="194">
        <f t="shared" si="4"/>
        <v>1.608007625028961</v>
      </c>
      <c r="V16" s="194">
        <f t="shared" si="4"/>
        <v>1.8377230000330989</v>
      </c>
      <c r="W16" s="194">
        <f t="shared" si="4"/>
        <v>2.067438375037236</v>
      </c>
      <c r="X16" s="194">
        <f t="shared" si="4"/>
        <v>2.2971537500413732</v>
      </c>
      <c r="Y16" s="194">
        <f t="shared" si="4"/>
        <v>2.5268691250455104</v>
      </c>
      <c r="Z16" s="195">
        <f t="shared" si="4"/>
        <v>2.756584500049648</v>
      </c>
    </row>
    <row r="17" spans="2:26" ht="13.5" thickBot="1">
      <c r="B17" s="211">
        <v>16</v>
      </c>
      <c r="C17" s="211">
        <v>8</v>
      </c>
      <c r="D17" s="211">
        <v>9</v>
      </c>
      <c r="E17" s="211">
        <v>1.11</v>
      </c>
      <c r="F17" s="186">
        <f t="shared" si="5"/>
        <v>68.18181818181819</v>
      </c>
      <c r="G17" s="187">
        <f t="shared" si="6"/>
        <v>0.556034777965685</v>
      </c>
      <c r="H17" s="187">
        <f t="shared" si="1"/>
        <v>2.285469168900805</v>
      </c>
      <c r="I17" s="187">
        <f t="shared" si="0"/>
        <v>8.380053619302952</v>
      </c>
      <c r="J17" s="186">
        <f t="shared" si="2"/>
        <v>99.19999999999999</v>
      </c>
      <c r="L17" s="251" t="s">
        <v>223</v>
      </c>
      <c r="M17" s="252"/>
      <c r="P17" s="191">
        <v>15</v>
      </c>
      <c r="Q17" s="194">
        <f t="shared" si="4"/>
        <v>0.9081638530495979</v>
      </c>
      <c r="R17" s="194">
        <f t="shared" si="4"/>
        <v>1.210885137399464</v>
      </c>
      <c r="S17" s="194">
        <f t="shared" si="4"/>
        <v>1.5136064217493297</v>
      </c>
      <c r="T17" s="194">
        <f t="shared" si="4"/>
        <v>1.8163277060991958</v>
      </c>
      <c r="U17" s="194">
        <f t="shared" si="4"/>
        <v>2.119048990449062</v>
      </c>
      <c r="V17" s="194">
        <f t="shared" si="4"/>
        <v>2.421770274798928</v>
      </c>
      <c r="W17" s="194">
        <f t="shared" si="4"/>
        <v>2.724491559148794</v>
      </c>
      <c r="X17" s="194">
        <f t="shared" si="4"/>
        <v>3.0272128434986594</v>
      </c>
      <c r="Y17" s="194">
        <f t="shared" si="4"/>
        <v>3.3299341278485253</v>
      </c>
      <c r="Z17" s="195">
        <f t="shared" si="4"/>
        <v>3.6326554121983916</v>
      </c>
    </row>
    <row r="18" spans="2:26" ht="12.75">
      <c r="B18" s="211">
        <v>15</v>
      </c>
      <c r="C18" s="211">
        <v>6</v>
      </c>
      <c r="D18" s="211">
        <v>9.5</v>
      </c>
      <c r="E18" s="211">
        <v>1.11</v>
      </c>
      <c r="F18" s="186">
        <f t="shared" si="5"/>
        <v>53.97727272727273</v>
      </c>
      <c r="G18" s="187">
        <f t="shared" si="6"/>
        <v>0.5502427490285423</v>
      </c>
      <c r="H18" s="187">
        <f t="shared" si="1"/>
        <v>1.5572739670167979</v>
      </c>
      <c r="I18" s="187">
        <f t="shared" si="0"/>
        <v>5.409477990689929</v>
      </c>
      <c r="J18" s="186">
        <f t="shared" si="2"/>
        <v>96.75</v>
      </c>
      <c r="L18" s="181" t="s">
        <v>216</v>
      </c>
      <c r="M18" s="182" t="s">
        <v>217</v>
      </c>
      <c r="P18" s="191">
        <v>16</v>
      </c>
      <c r="Q18" s="194">
        <f t="shared" si="4"/>
        <v>1.1756528646609077</v>
      </c>
      <c r="R18" s="194">
        <f t="shared" si="4"/>
        <v>1.56753715288121</v>
      </c>
      <c r="S18" s="194">
        <f t="shared" si="4"/>
        <v>1.959421441101513</v>
      </c>
      <c r="T18" s="194">
        <f t="shared" si="4"/>
        <v>2.3513057293218154</v>
      </c>
      <c r="U18" s="194">
        <f t="shared" si="4"/>
        <v>2.743190017542118</v>
      </c>
      <c r="V18" s="194">
        <f t="shared" si="4"/>
        <v>3.13507430576242</v>
      </c>
      <c r="W18" s="194">
        <f t="shared" si="4"/>
        <v>3.526958593982723</v>
      </c>
      <c r="X18" s="194">
        <f t="shared" si="4"/>
        <v>3.918842882203026</v>
      </c>
      <c r="Y18" s="194">
        <f t="shared" si="4"/>
        <v>4.310727170423328</v>
      </c>
      <c r="Z18" s="195">
        <f t="shared" si="4"/>
        <v>4.702611458643631</v>
      </c>
    </row>
    <row r="19" spans="2:26" ht="12.75">
      <c r="B19" s="211">
        <v>14</v>
      </c>
      <c r="C19" s="211">
        <v>10</v>
      </c>
      <c r="D19" s="211">
        <v>9</v>
      </c>
      <c r="E19" s="211">
        <v>1.11</v>
      </c>
      <c r="F19" s="186">
        <f t="shared" si="5"/>
        <v>85.22727272727273</v>
      </c>
      <c r="G19" s="187">
        <f t="shared" si="6"/>
        <v>0.48653043071997437</v>
      </c>
      <c r="H19" s="187">
        <f t="shared" si="1"/>
        <v>1.674625083780161</v>
      </c>
      <c r="I19" s="187">
        <f t="shared" si="0"/>
        <v>6.140291973860591</v>
      </c>
      <c r="J19" s="186">
        <f t="shared" si="2"/>
        <v>95.80000000000001</v>
      </c>
      <c r="L19" s="179" t="s">
        <v>218</v>
      </c>
      <c r="M19" s="180">
        <v>1.31</v>
      </c>
      <c r="P19" s="191">
        <v>17</v>
      </c>
      <c r="Q19" s="194">
        <f t="shared" si="4"/>
        <v>1.4982864823813424</v>
      </c>
      <c r="R19" s="194">
        <f t="shared" si="4"/>
        <v>1.9977153098417901</v>
      </c>
      <c r="S19" s="194">
        <f t="shared" si="4"/>
        <v>2.4971441373022376</v>
      </c>
      <c r="T19" s="194">
        <f t="shared" si="4"/>
        <v>2.996572964762685</v>
      </c>
      <c r="U19" s="194">
        <f t="shared" si="4"/>
        <v>3.4960017922231326</v>
      </c>
      <c r="V19" s="194">
        <f t="shared" si="4"/>
        <v>3.9954306196835803</v>
      </c>
      <c r="W19" s="194">
        <f t="shared" si="4"/>
        <v>4.4948594471440275</v>
      </c>
      <c r="X19" s="194">
        <f t="shared" si="4"/>
        <v>4.994288274604475</v>
      </c>
      <c r="Y19" s="194">
        <f t="shared" si="4"/>
        <v>5.493717102064923</v>
      </c>
      <c r="Z19" s="195">
        <f t="shared" si="4"/>
        <v>5.99314592952537</v>
      </c>
    </row>
    <row r="20" spans="2:26" ht="12.75">
      <c r="B20" s="211">
        <v>10</v>
      </c>
      <c r="C20" s="211">
        <v>5</v>
      </c>
      <c r="D20" s="211">
        <v>14</v>
      </c>
      <c r="E20" s="211">
        <v>1.11</v>
      </c>
      <c r="F20" s="186">
        <f t="shared" si="5"/>
        <v>66.28787878787878</v>
      </c>
      <c r="G20" s="187">
        <f t="shared" si="6"/>
        <v>0.5405893674666381</v>
      </c>
      <c r="H20" s="187">
        <f t="shared" si="1"/>
        <v>0.8204120535862047</v>
      </c>
      <c r="I20" s="187">
        <f t="shared" si="0"/>
        <v>1.9338284120246254</v>
      </c>
      <c r="J20" s="186">
        <f t="shared" si="2"/>
        <v>95</v>
      </c>
      <c r="L20" s="179" t="s">
        <v>219</v>
      </c>
      <c r="M20" s="180">
        <v>1.11</v>
      </c>
      <c r="P20" s="191">
        <v>18</v>
      </c>
      <c r="Q20" s="194">
        <f t="shared" si="4"/>
        <v>1.8831685656836463</v>
      </c>
      <c r="R20" s="194">
        <f t="shared" si="4"/>
        <v>2.5108914209115283</v>
      </c>
      <c r="S20" s="194">
        <f t="shared" si="4"/>
        <v>3.13861427613941</v>
      </c>
      <c r="T20" s="194">
        <f t="shared" si="4"/>
        <v>3.7663371313672926</v>
      </c>
      <c r="U20" s="194">
        <f t="shared" si="4"/>
        <v>4.394059986595175</v>
      </c>
      <c r="V20" s="194">
        <f t="shared" si="4"/>
        <v>5.021782841823057</v>
      </c>
      <c r="W20" s="194">
        <f t="shared" si="4"/>
        <v>5.649505697050939</v>
      </c>
      <c r="X20" s="194">
        <f t="shared" si="4"/>
        <v>6.27722855227882</v>
      </c>
      <c r="Y20" s="194">
        <f t="shared" si="4"/>
        <v>6.904951407506703</v>
      </c>
      <c r="Z20" s="195">
        <f t="shared" si="4"/>
        <v>7.532674262734585</v>
      </c>
    </row>
    <row r="21" spans="2:26" ht="13.5" thickBot="1">
      <c r="B21" s="211">
        <v>18</v>
      </c>
      <c r="C21" s="211">
        <v>6</v>
      </c>
      <c r="D21" s="211">
        <v>8.5</v>
      </c>
      <c r="E21" s="211">
        <v>1.11</v>
      </c>
      <c r="F21" s="186">
        <f t="shared" si="5"/>
        <v>48.29545454545455</v>
      </c>
      <c r="G21" s="187">
        <f t="shared" si="6"/>
        <v>0.5907869515885402</v>
      </c>
      <c r="H21" s="187">
        <f t="shared" si="1"/>
        <v>2.3130017908009384</v>
      </c>
      <c r="I21" s="187">
        <f t="shared" si="0"/>
        <v>8.979889305462466</v>
      </c>
      <c r="J21" s="186">
        <f t="shared" si="2"/>
        <v>99.9</v>
      </c>
      <c r="L21" s="183" t="s">
        <v>220</v>
      </c>
      <c r="M21" s="184">
        <v>1.18</v>
      </c>
      <c r="P21" s="191">
        <v>19</v>
      </c>
      <c r="Q21" s="194">
        <f t="shared" si="4"/>
        <v>2.3378335109783044</v>
      </c>
      <c r="R21" s="194">
        <f t="shared" si="4"/>
        <v>3.1171113479710724</v>
      </c>
      <c r="S21" s="194">
        <f t="shared" si="4"/>
        <v>3.896389184963841</v>
      </c>
      <c r="T21" s="194">
        <f t="shared" si="4"/>
        <v>4.675667021956609</v>
      </c>
      <c r="U21" s="194">
        <f t="shared" si="4"/>
        <v>5.454944858949377</v>
      </c>
      <c r="V21" s="194">
        <f t="shared" si="4"/>
        <v>6.234222695942145</v>
      </c>
      <c r="W21" s="194">
        <f t="shared" si="4"/>
        <v>7.013500532934912</v>
      </c>
      <c r="X21" s="194">
        <f t="shared" si="4"/>
        <v>7.792778369927682</v>
      </c>
      <c r="Y21" s="194">
        <f t="shared" si="4"/>
        <v>8.57205620692045</v>
      </c>
      <c r="Z21" s="195">
        <f t="shared" si="4"/>
        <v>9.351334043913218</v>
      </c>
    </row>
    <row r="22" spans="16:26" ht="13.5" thickBot="1">
      <c r="P22" s="196">
        <v>20</v>
      </c>
      <c r="Q22" s="197">
        <f t="shared" si="4"/>
        <v>2.870246251613544</v>
      </c>
      <c r="R22" s="197">
        <f t="shared" si="4"/>
        <v>3.826995002151392</v>
      </c>
      <c r="S22" s="197">
        <f t="shared" si="4"/>
        <v>4.78374375268924</v>
      </c>
      <c r="T22" s="197">
        <f t="shared" si="4"/>
        <v>5.740492503227088</v>
      </c>
      <c r="U22" s="197">
        <f t="shared" si="4"/>
        <v>6.697241253764935</v>
      </c>
      <c r="V22" s="197">
        <f t="shared" si="4"/>
        <v>7.653990004302784</v>
      </c>
      <c r="W22" s="197">
        <f t="shared" si="4"/>
        <v>8.610738754840632</v>
      </c>
      <c r="X22" s="197">
        <f t="shared" si="4"/>
        <v>9.56748750537848</v>
      </c>
      <c r="Y22" s="197">
        <f t="shared" si="4"/>
        <v>10.524236255916328</v>
      </c>
      <c r="Z22" s="198">
        <f t="shared" si="4"/>
        <v>11.480985006454176</v>
      </c>
    </row>
    <row r="23" ht="12.75">
      <c r="L23" s="185" t="s">
        <v>222</v>
      </c>
    </row>
    <row r="24" ht="12.75">
      <c r="L24" s="188" t="s">
        <v>221</v>
      </c>
    </row>
    <row r="25" ht="12.75">
      <c r="M25" s="188"/>
    </row>
    <row r="26" ht="12.75">
      <c r="L26" s="173" t="s">
        <v>346</v>
      </c>
    </row>
    <row r="27" ht="12.75">
      <c r="L27" s="173" t="s">
        <v>347</v>
      </c>
    </row>
  </sheetData>
  <sheetProtection sheet="1" objects="1" scenarios="1"/>
  <mergeCells count="2">
    <mergeCell ref="L17:M17"/>
    <mergeCell ref="P7:Z7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16"/>
  <sheetViews>
    <sheetView showGridLines="0" workbookViewId="0" topLeftCell="A1">
      <pane ySplit="1" topLeftCell="BM2" activePane="bottomLeft" state="frozen"/>
      <selection pane="topLeft" activeCell="A1" sqref="A1"/>
      <selection pane="bottomLeft" activeCell="E41" sqref="E41"/>
    </sheetView>
  </sheetViews>
  <sheetFormatPr defaultColWidth="9.140625" defaultRowHeight="12.75"/>
  <cols>
    <col min="1" max="1" width="9.140625" style="199" customWidth="1"/>
    <col min="2" max="2" width="20.421875" style="217" bestFit="1" customWidth="1"/>
    <col min="3" max="4" width="7.7109375" style="211" bestFit="1" customWidth="1"/>
    <col min="5" max="5" width="11.140625" style="218" customWidth="1"/>
    <col min="6" max="6" width="14.57421875" style="210" customWidth="1"/>
    <col min="7" max="7" width="14.57421875" style="201" customWidth="1"/>
    <col min="8" max="16384" width="9.140625" style="199" customWidth="1"/>
  </cols>
  <sheetData>
    <row r="1" spans="2:7" s="224" customFormat="1" ht="28.5" customHeight="1" thickBot="1">
      <c r="B1" s="220" t="s">
        <v>233</v>
      </c>
      <c r="C1" s="221" t="s">
        <v>234</v>
      </c>
      <c r="D1" s="221" t="s">
        <v>235</v>
      </c>
      <c r="E1" s="222" t="s">
        <v>236</v>
      </c>
      <c r="F1" s="223" t="s">
        <v>237</v>
      </c>
      <c r="G1" s="222" t="s">
        <v>238</v>
      </c>
    </row>
    <row r="2" spans="2:7" ht="13.5" thickBot="1">
      <c r="B2" s="214" t="s">
        <v>239</v>
      </c>
      <c r="C2" s="215">
        <v>9</v>
      </c>
      <c r="D2" s="215"/>
      <c r="E2" s="216">
        <v>930</v>
      </c>
      <c r="F2" s="208">
        <f aca="true" t="shared" si="0" ref="F2:F33">IF($E2=0,"",($C2*16+$D2)*144/$E2)</f>
        <v>22.296774193548387</v>
      </c>
      <c r="G2" s="202">
        <f aca="true" t="shared" si="1" ref="G2:G33">IF($E2=0,"",($C2*16+$D2)*(144/$E2)^1.5)</f>
        <v>8.773680342461969</v>
      </c>
    </row>
    <row r="3" spans="2:9" ht="13.5" thickBot="1">
      <c r="B3" s="217" t="s">
        <v>240</v>
      </c>
      <c r="C3" s="211">
        <v>25</v>
      </c>
      <c r="E3" s="218">
        <v>2000</v>
      </c>
      <c r="F3" s="209">
        <f t="shared" si="0"/>
        <v>28.8</v>
      </c>
      <c r="G3" s="200">
        <f t="shared" si="1"/>
        <v>7.727850930239273</v>
      </c>
      <c r="I3" s="207" t="s">
        <v>278</v>
      </c>
    </row>
    <row r="4" spans="2:9" ht="12.75">
      <c r="B4" s="217" t="s">
        <v>241</v>
      </c>
      <c r="C4" s="211">
        <v>9</v>
      </c>
      <c r="E4" s="218">
        <v>1440</v>
      </c>
      <c r="F4" s="209">
        <f t="shared" si="0"/>
        <v>14.4</v>
      </c>
      <c r="G4" s="200">
        <f t="shared" si="1"/>
        <v>4.553679830642467</v>
      </c>
      <c r="I4" s="206" t="s">
        <v>274</v>
      </c>
    </row>
    <row r="5" spans="2:9" ht="12.75">
      <c r="B5" s="217" t="s">
        <v>242</v>
      </c>
      <c r="C5" s="211">
        <v>19</v>
      </c>
      <c r="E5" s="218">
        <v>1440</v>
      </c>
      <c r="F5" s="209">
        <f t="shared" si="0"/>
        <v>30.4</v>
      </c>
      <c r="G5" s="200">
        <f t="shared" si="1"/>
        <v>9.613324086911875</v>
      </c>
      <c r="I5" s="203" t="s">
        <v>275</v>
      </c>
    </row>
    <row r="6" spans="2:9" ht="12.75">
      <c r="B6" s="217" t="s">
        <v>243</v>
      </c>
      <c r="C6" s="211">
        <v>24</v>
      </c>
      <c r="E6" s="218">
        <v>1950</v>
      </c>
      <c r="F6" s="209">
        <f t="shared" si="0"/>
        <v>28.356923076923078</v>
      </c>
      <c r="G6" s="200">
        <f t="shared" si="1"/>
        <v>7.705894262161177</v>
      </c>
      <c r="I6" s="204" t="s">
        <v>276</v>
      </c>
    </row>
    <row r="7" spans="2:9" ht="13.5" thickBot="1">
      <c r="B7" s="217" t="s">
        <v>244</v>
      </c>
      <c r="C7" s="211">
        <v>8</v>
      </c>
      <c r="E7" s="218">
        <v>850</v>
      </c>
      <c r="F7" s="209">
        <f t="shared" si="0"/>
        <v>21.68470588235294</v>
      </c>
      <c r="G7" s="200">
        <f t="shared" si="1"/>
        <v>8.925351307331923</v>
      </c>
      <c r="I7" s="205" t="s">
        <v>277</v>
      </c>
    </row>
    <row r="8" spans="2:7" ht="12.75">
      <c r="B8" s="219" t="s">
        <v>245</v>
      </c>
      <c r="C8" s="211">
        <v>10</v>
      </c>
      <c r="D8" s="211">
        <v>11</v>
      </c>
      <c r="E8" s="218">
        <v>949</v>
      </c>
      <c r="F8" s="209">
        <f t="shared" si="0"/>
        <v>25.94731296101159</v>
      </c>
      <c r="G8" s="200">
        <f t="shared" si="1"/>
        <v>10.107425057400178</v>
      </c>
    </row>
    <row r="9" spans="2:7" ht="12.75">
      <c r="B9" s="219" t="s">
        <v>246</v>
      </c>
      <c r="C9" s="211">
        <v>8</v>
      </c>
      <c r="E9" s="218">
        <v>980</v>
      </c>
      <c r="F9" s="209">
        <f t="shared" si="0"/>
        <v>18.808163265306124</v>
      </c>
      <c r="G9" s="200">
        <f t="shared" si="1"/>
        <v>7.209656844538098</v>
      </c>
    </row>
    <row r="10" spans="2:7" ht="12.75">
      <c r="B10" s="217" t="s">
        <v>247</v>
      </c>
      <c r="C10" s="211">
        <v>10</v>
      </c>
      <c r="D10" s="211">
        <v>1</v>
      </c>
      <c r="E10" s="218">
        <v>1050</v>
      </c>
      <c r="F10" s="209">
        <f t="shared" si="0"/>
        <v>22.08</v>
      </c>
      <c r="G10" s="200">
        <f t="shared" si="1"/>
        <v>8.176843121191173</v>
      </c>
    </row>
    <row r="11" spans="2:7" ht="12.75">
      <c r="B11" s="217" t="s">
        <v>248</v>
      </c>
      <c r="C11" s="211">
        <v>5</v>
      </c>
      <c r="E11" s="218">
        <v>594</v>
      </c>
      <c r="F11" s="209">
        <f t="shared" si="0"/>
        <v>19.393939393939394</v>
      </c>
      <c r="G11" s="200">
        <f t="shared" si="1"/>
        <v>9.548915663851268</v>
      </c>
    </row>
    <row r="12" spans="2:7" ht="12.75">
      <c r="B12" s="217" t="s">
        <v>249</v>
      </c>
      <c r="C12" s="211">
        <v>7</v>
      </c>
      <c r="E12" s="218">
        <v>944</v>
      </c>
      <c r="F12" s="209">
        <f t="shared" si="0"/>
        <v>17.084745762711865</v>
      </c>
      <c r="G12" s="200">
        <f t="shared" si="1"/>
        <v>6.672733335695109</v>
      </c>
    </row>
    <row r="13" spans="2:7" ht="12.75">
      <c r="B13" s="217" t="s">
        <v>280</v>
      </c>
      <c r="C13" s="211">
        <v>4</v>
      </c>
      <c r="D13" s="211">
        <v>8</v>
      </c>
      <c r="E13" s="218">
        <v>550</v>
      </c>
      <c r="F13" s="209">
        <f t="shared" si="0"/>
        <v>18.85090909090909</v>
      </c>
      <c r="G13" s="200">
        <f t="shared" si="1"/>
        <v>9.645665573127136</v>
      </c>
    </row>
    <row r="14" spans="2:7" ht="12.75">
      <c r="B14" s="217" t="s">
        <v>250</v>
      </c>
      <c r="D14" s="211">
        <v>31</v>
      </c>
      <c r="E14" s="218">
        <v>345</v>
      </c>
      <c r="F14" s="209">
        <f t="shared" si="0"/>
        <v>12.939130434782609</v>
      </c>
      <c r="G14" s="200">
        <f t="shared" si="1"/>
        <v>8.35943238534835</v>
      </c>
    </row>
    <row r="15" spans="2:7" ht="12.75">
      <c r="B15" s="217" t="s">
        <v>251</v>
      </c>
      <c r="C15" s="211">
        <v>19</v>
      </c>
      <c r="E15" s="218">
        <v>1810</v>
      </c>
      <c r="F15" s="209">
        <f t="shared" si="0"/>
        <v>24.185635359116024</v>
      </c>
      <c r="G15" s="200">
        <f t="shared" si="1"/>
        <v>6.821807488495697</v>
      </c>
    </row>
    <row r="16" spans="2:7" ht="12.75">
      <c r="B16" s="217" t="s">
        <v>252</v>
      </c>
      <c r="C16" s="211">
        <v>5.5</v>
      </c>
      <c r="E16" s="218">
        <v>550</v>
      </c>
      <c r="F16" s="209">
        <f t="shared" si="0"/>
        <v>23.04</v>
      </c>
      <c r="G16" s="200">
        <f t="shared" si="1"/>
        <v>11.789146811599835</v>
      </c>
    </row>
    <row r="17" spans="2:7" ht="12.75">
      <c r="B17" s="219" t="s">
        <v>253</v>
      </c>
      <c r="C17" s="211">
        <v>6</v>
      </c>
      <c r="D17" s="211">
        <v>11</v>
      </c>
      <c r="E17" s="218">
        <v>664</v>
      </c>
      <c r="F17" s="209">
        <f t="shared" si="0"/>
        <v>23.204819277108435</v>
      </c>
      <c r="G17" s="200">
        <f t="shared" si="1"/>
        <v>10.80625960850889</v>
      </c>
    </row>
    <row r="18" spans="2:7" ht="12.75">
      <c r="B18" s="217" t="s">
        <v>254</v>
      </c>
      <c r="C18" s="211">
        <v>20</v>
      </c>
      <c r="E18" s="218">
        <v>1596</v>
      </c>
      <c r="F18" s="209">
        <f t="shared" si="0"/>
        <v>28.872180451127818</v>
      </c>
      <c r="G18" s="200">
        <f t="shared" si="1"/>
        <v>8.67250154614536</v>
      </c>
    </row>
    <row r="19" spans="2:7" ht="12.75">
      <c r="B19" s="217" t="s">
        <v>255</v>
      </c>
      <c r="C19" s="211">
        <v>15</v>
      </c>
      <c r="E19" s="218">
        <v>1275</v>
      </c>
      <c r="F19" s="209">
        <f t="shared" si="0"/>
        <v>27.105882352941176</v>
      </c>
      <c r="G19" s="200">
        <f t="shared" si="1"/>
        <v>9.109398532519153</v>
      </c>
    </row>
    <row r="20" spans="2:7" ht="12.75">
      <c r="B20" s="217" t="s">
        <v>256</v>
      </c>
      <c r="C20" s="211">
        <v>14</v>
      </c>
      <c r="E20" s="218">
        <v>1162</v>
      </c>
      <c r="F20" s="209">
        <f t="shared" si="0"/>
        <v>27.759036144578314</v>
      </c>
      <c r="G20" s="200">
        <f t="shared" si="1"/>
        <v>9.771979886369403</v>
      </c>
    </row>
    <row r="21" spans="2:7" ht="12.75">
      <c r="B21" s="219" t="s">
        <v>257</v>
      </c>
      <c r="C21" s="211">
        <v>4.5</v>
      </c>
      <c r="E21" s="218">
        <v>759</v>
      </c>
      <c r="F21" s="209">
        <f t="shared" si="0"/>
        <v>13.660079051383399</v>
      </c>
      <c r="G21" s="200">
        <f t="shared" si="1"/>
        <v>5.949953487419784</v>
      </c>
    </row>
    <row r="22" spans="2:7" ht="12.75">
      <c r="B22" s="217" t="s">
        <v>258</v>
      </c>
      <c r="C22" s="211">
        <v>16</v>
      </c>
      <c r="E22" s="218">
        <v>1300</v>
      </c>
      <c r="F22" s="209">
        <f t="shared" si="0"/>
        <v>28.356923076923078</v>
      </c>
      <c r="G22" s="200">
        <f t="shared" si="1"/>
        <v>9.437754477067777</v>
      </c>
    </row>
    <row r="23" spans="2:7" ht="12.75">
      <c r="B23" s="217" t="s">
        <v>259</v>
      </c>
      <c r="C23" s="211">
        <v>9</v>
      </c>
      <c r="E23" s="218">
        <v>875</v>
      </c>
      <c r="F23" s="209">
        <f t="shared" si="0"/>
        <v>23.698285714285714</v>
      </c>
      <c r="G23" s="200">
        <f t="shared" si="1"/>
        <v>9.613779360576286</v>
      </c>
    </row>
    <row r="24" spans="2:7" ht="12.75">
      <c r="B24" s="217" t="s">
        <v>260</v>
      </c>
      <c r="C24" s="211">
        <v>10</v>
      </c>
      <c r="E24" s="218">
        <v>1025</v>
      </c>
      <c r="F24" s="209">
        <f t="shared" si="0"/>
        <v>22.478048780487804</v>
      </c>
      <c r="G24" s="200">
        <f t="shared" si="1"/>
        <v>8.425155451114502</v>
      </c>
    </row>
    <row r="25" spans="2:7" ht="12.75">
      <c r="B25" s="217" t="s">
        <v>261</v>
      </c>
      <c r="C25" s="211">
        <v>17</v>
      </c>
      <c r="E25" s="218">
        <v>1260</v>
      </c>
      <c r="F25" s="209">
        <f t="shared" si="0"/>
        <v>31.085714285714285</v>
      </c>
      <c r="G25" s="200">
        <f t="shared" si="1"/>
        <v>10.508889475938581</v>
      </c>
    </row>
    <row r="26" spans="2:7" ht="12.75">
      <c r="B26" s="217" t="s">
        <v>262</v>
      </c>
      <c r="C26" s="211">
        <v>18</v>
      </c>
      <c r="E26" s="218">
        <v>1300</v>
      </c>
      <c r="F26" s="209">
        <f t="shared" si="0"/>
        <v>31.90153846153846</v>
      </c>
      <c r="G26" s="200">
        <f t="shared" si="1"/>
        <v>10.61747378670125</v>
      </c>
    </row>
    <row r="27" spans="2:7" ht="12.75">
      <c r="B27" s="219" t="s">
        <v>263</v>
      </c>
      <c r="C27" s="211">
        <v>4</v>
      </c>
      <c r="D27" s="211">
        <v>4</v>
      </c>
      <c r="E27" s="218">
        <v>420</v>
      </c>
      <c r="F27" s="209">
        <f t="shared" si="0"/>
        <v>23.314285714285713</v>
      </c>
      <c r="G27" s="200">
        <f t="shared" si="1"/>
        <v>13.651447877588623</v>
      </c>
    </row>
    <row r="28" spans="2:7" ht="12.75">
      <c r="B28" s="219" t="s">
        <v>264</v>
      </c>
      <c r="C28" s="211">
        <v>4</v>
      </c>
      <c r="E28" s="218">
        <v>697</v>
      </c>
      <c r="F28" s="209">
        <f t="shared" si="0"/>
        <v>13.222381635581062</v>
      </c>
      <c r="G28" s="200">
        <f t="shared" si="1"/>
        <v>6.010001009895069</v>
      </c>
    </row>
    <row r="29" spans="2:7" ht="12.75">
      <c r="B29" s="217" t="s">
        <v>265</v>
      </c>
      <c r="C29" s="211">
        <v>6</v>
      </c>
      <c r="E29" s="218">
        <v>912</v>
      </c>
      <c r="F29" s="209">
        <f t="shared" si="0"/>
        <v>15.157894736842104</v>
      </c>
      <c r="G29" s="200">
        <f t="shared" si="1"/>
        <v>6.023136613179988</v>
      </c>
    </row>
    <row r="30" spans="2:7" ht="12.75">
      <c r="B30" s="217" t="s">
        <v>266</v>
      </c>
      <c r="C30" s="211">
        <v>6</v>
      </c>
      <c r="E30" s="218">
        <v>900</v>
      </c>
      <c r="F30" s="209">
        <f t="shared" si="0"/>
        <v>15.36</v>
      </c>
      <c r="G30" s="200">
        <f t="shared" si="1"/>
        <v>6.143999999999998</v>
      </c>
    </row>
    <row r="31" spans="2:7" ht="12.75">
      <c r="B31" s="217" t="s">
        <v>267</v>
      </c>
      <c r="C31" s="211">
        <v>4.5</v>
      </c>
      <c r="E31" s="218">
        <v>798</v>
      </c>
      <c r="F31" s="209">
        <f t="shared" si="0"/>
        <v>12.992481203007518</v>
      </c>
      <c r="G31" s="200">
        <f t="shared" si="1"/>
        <v>5.519146187817181</v>
      </c>
    </row>
    <row r="32" spans="2:7" ht="12.75">
      <c r="B32" s="219" t="s">
        <v>268</v>
      </c>
      <c r="D32" s="211">
        <v>32</v>
      </c>
      <c r="E32" s="218">
        <v>330</v>
      </c>
      <c r="F32" s="209">
        <f t="shared" si="0"/>
        <v>13.963636363636363</v>
      </c>
      <c r="G32" s="200">
        <f t="shared" si="1"/>
        <v>9.224074599458673</v>
      </c>
    </row>
    <row r="33" spans="2:7" ht="12.75">
      <c r="B33" s="217" t="s">
        <v>269</v>
      </c>
      <c r="C33" s="211">
        <v>9.5</v>
      </c>
      <c r="E33" s="218">
        <v>713</v>
      </c>
      <c r="F33" s="209">
        <f t="shared" si="0"/>
        <v>30.6984572230014</v>
      </c>
      <c r="G33" s="200">
        <f t="shared" si="1"/>
        <v>13.795995095719313</v>
      </c>
    </row>
    <row r="34" spans="2:7" ht="12.75">
      <c r="B34" s="217" t="s">
        <v>270</v>
      </c>
      <c r="C34" s="211">
        <v>4</v>
      </c>
      <c r="E34" s="218">
        <v>578</v>
      </c>
      <c r="F34" s="209">
        <f aca="true" t="shared" si="2" ref="F34:F97">IF($E34=0,"",($C34*16+$D34)*144/$E34)</f>
        <v>15.944636678200691</v>
      </c>
      <c r="G34" s="200">
        <f aca="true" t="shared" si="3" ref="G34:G97">IF($E34=0,"",($C34*16+$D34)*(144/$E34)^1.5)</f>
        <v>7.958513448502206</v>
      </c>
    </row>
    <row r="35" spans="2:7" ht="12.75">
      <c r="B35" s="217" t="s">
        <v>271</v>
      </c>
      <c r="C35" s="211">
        <v>10</v>
      </c>
      <c r="E35" s="218">
        <v>1060</v>
      </c>
      <c r="F35" s="209">
        <f t="shared" si="2"/>
        <v>21.735849056603772</v>
      </c>
      <c r="G35" s="200">
        <f t="shared" si="3"/>
        <v>8.011335561426923</v>
      </c>
    </row>
    <row r="36" spans="2:7" ht="12.75">
      <c r="B36" s="217" t="s">
        <v>272</v>
      </c>
      <c r="C36" s="211">
        <v>13</v>
      </c>
      <c r="E36" s="218">
        <v>1128</v>
      </c>
      <c r="F36" s="209">
        <f t="shared" si="2"/>
        <v>26.5531914893617</v>
      </c>
      <c r="G36" s="200">
        <f t="shared" si="3"/>
        <v>9.487317255969142</v>
      </c>
    </row>
    <row r="37" spans="2:7" ht="12.75">
      <c r="B37" s="217" t="s">
        <v>273</v>
      </c>
      <c r="C37" s="211">
        <v>4</v>
      </c>
      <c r="D37" s="211">
        <v>4</v>
      </c>
      <c r="E37" s="218">
        <v>724</v>
      </c>
      <c r="F37" s="209">
        <f t="shared" si="2"/>
        <v>13.524861878453038</v>
      </c>
      <c r="G37" s="200">
        <f t="shared" si="3"/>
        <v>6.031770397833361</v>
      </c>
    </row>
    <row r="38" spans="2:7" ht="12.75">
      <c r="B38" s="217" t="s">
        <v>281</v>
      </c>
      <c r="C38" s="211">
        <v>7</v>
      </c>
      <c r="E38" s="218">
        <v>820</v>
      </c>
      <c r="F38" s="209">
        <f t="shared" si="2"/>
        <v>19.66829268292683</v>
      </c>
      <c r="G38" s="200">
        <f t="shared" si="3"/>
        <v>8.242158885491529</v>
      </c>
    </row>
    <row r="39" spans="2:7" ht="12.75">
      <c r="B39" s="217" t="s">
        <v>281</v>
      </c>
      <c r="C39" s="211">
        <v>6.5</v>
      </c>
      <c r="E39" s="218">
        <v>653</v>
      </c>
      <c r="F39" s="209">
        <f t="shared" si="2"/>
        <v>22.93415007656968</v>
      </c>
      <c r="G39" s="200">
        <f t="shared" si="3"/>
        <v>10.769791747073022</v>
      </c>
    </row>
    <row r="40" spans="2:7" ht="12.75">
      <c r="B40" s="217" t="s">
        <v>344</v>
      </c>
      <c r="C40" s="211">
        <v>4.75</v>
      </c>
      <c r="E40" s="218">
        <v>614</v>
      </c>
      <c r="F40" s="209">
        <f t="shared" si="2"/>
        <v>17.824104234527688</v>
      </c>
      <c r="G40" s="200">
        <f t="shared" si="3"/>
        <v>8.631867667912074</v>
      </c>
    </row>
    <row r="41" spans="6:7" ht="12.75">
      <c r="F41" s="209">
        <f t="shared" si="2"/>
      </c>
      <c r="G41" s="200">
        <f t="shared" si="3"/>
      </c>
    </row>
    <row r="42" spans="6:7" ht="12.75">
      <c r="F42" s="209">
        <f t="shared" si="2"/>
      </c>
      <c r="G42" s="200">
        <f t="shared" si="3"/>
      </c>
    </row>
    <row r="43" spans="6:7" ht="12.75">
      <c r="F43" s="209">
        <f t="shared" si="2"/>
      </c>
      <c r="G43" s="200">
        <f t="shared" si="3"/>
      </c>
    </row>
    <row r="44" spans="6:7" ht="12.75">
      <c r="F44" s="209">
        <f t="shared" si="2"/>
      </c>
      <c r="G44" s="200">
        <f t="shared" si="3"/>
      </c>
    </row>
    <row r="45" spans="6:7" ht="12.75">
      <c r="F45" s="209">
        <f t="shared" si="2"/>
      </c>
      <c r="G45" s="200">
        <f t="shared" si="3"/>
      </c>
    </row>
    <row r="46" spans="6:7" ht="12.75">
      <c r="F46" s="209">
        <f t="shared" si="2"/>
      </c>
      <c r="G46" s="200">
        <f t="shared" si="3"/>
      </c>
    </row>
    <row r="47" spans="6:7" ht="12.75">
      <c r="F47" s="209">
        <f t="shared" si="2"/>
      </c>
      <c r="G47" s="200">
        <f t="shared" si="3"/>
      </c>
    </row>
    <row r="48" spans="6:7" ht="12.75">
      <c r="F48" s="209">
        <f t="shared" si="2"/>
      </c>
      <c r="G48" s="200">
        <f t="shared" si="3"/>
      </c>
    </row>
    <row r="49" spans="6:7" ht="12.75">
      <c r="F49" s="209">
        <f t="shared" si="2"/>
      </c>
      <c r="G49" s="200">
        <f t="shared" si="3"/>
      </c>
    </row>
    <row r="50" spans="6:7" ht="12.75">
      <c r="F50" s="209">
        <f t="shared" si="2"/>
      </c>
      <c r="G50" s="200">
        <f t="shared" si="3"/>
      </c>
    </row>
    <row r="51" spans="6:7" ht="12.75">
      <c r="F51" s="209">
        <f t="shared" si="2"/>
      </c>
      <c r="G51" s="200">
        <f t="shared" si="3"/>
      </c>
    </row>
    <row r="52" spans="6:7" ht="12.75">
      <c r="F52" s="209">
        <f t="shared" si="2"/>
      </c>
      <c r="G52" s="200">
        <f t="shared" si="3"/>
      </c>
    </row>
    <row r="53" spans="6:7" ht="12.75">
      <c r="F53" s="209">
        <f t="shared" si="2"/>
      </c>
      <c r="G53" s="200">
        <f t="shared" si="3"/>
      </c>
    </row>
    <row r="54" spans="6:7" ht="12.75">
      <c r="F54" s="209">
        <f t="shared" si="2"/>
      </c>
      <c r="G54" s="200">
        <f t="shared" si="3"/>
      </c>
    </row>
    <row r="55" spans="6:7" ht="12.75">
      <c r="F55" s="209">
        <f t="shared" si="2"/>
      </c>
      <c r="G55" s="200">
        <f t="shared" si="3"/>
      </c>
    </row>
    <row r="56" spans="6:7" ht="12.75">
      <c r="F56" s="209">
        <f t="shared" si="2"/>
      </c>
      <c r="G56" s="200">
        <f t="shared" si="3"/>
      </c>
    </row>
    <row r="57" spans="6:7" ht="12.75">
      <c r="F57" s="209">
        <f t="shared" si="2"/>
      </c>
      <c r="G57" s="200">
        <f t="shared" si="3"/>
      </c>
    </row>
    <row r="58" spans="6:7" ht="12.75">
      <c r="F58" s="209">
        <f t="shared" si="2"/>
      </c>
      <c r="G58" s="200">
        <f t="shared" si="3"/>
      </c>
    </row>
    <row r="59" spans="6:7" ht="12.75">
      <c r="F59" s="209">
        <f t="shared" si="2"/>
      </c>
      <c r="G59" s="200">
        <f t="shared" si="3"/>
      </c>
    </row>
    <row r="60" spans="6:7" ht="12.75">
      <c r="F60" s="209">
        <f t="shared" si="2"/>
      </c>
      <c r="G60" s="200">
        <f t="shared" si="3"/>
      </c>
    </row>
    <row r="61" spans="6:7" ht="12.75">
      <c r="F61" s="209">
        <f t="shared" si="2"/>
      </c>
      <c r="G61" s="200">
        <f t="shared" si="3"/>
      </c>
    </row>
    <row r="62" spans="6:7" ht="12.75">
      <c r="F62" s="209">
        <f t="shared" si="2"/>
      </c>
      <c r="G62" s="200">
        <f t="shared" si="3"/>
      </c>
    </row>
    <row r="63" spans="6:7" ht="12.75">
      <c r="F63" s="209">
        <f t="shared" si="2"/>
      </c>
      <c r="G63" s="200">
        <f t="shared" si="3"/>
      </c>
    </row>
    <row r="64" spans="6:7" ht="12.75">
      <c r="F64" s="209">
        <f t="shared" si="2"/>
      </c>
      <c r="G64" s="200">
        <f t="shared" si="3"/>
      </c>
    </row>
    <row r="65" spans="6:7" ht="12.75">
      <c r="F65" s="209">
        <f t="shared" si="2"/>
      </c>
      <c r="G65" s="200">
        <f t="shared" si="3"/>
      </c>
    </row>
    <row r="66" spans="6:7" ht="12.75">
      <c r="F66" s="209">
        <f t="shared" si="2"/>
      </c>
      <c r="G66" s="200">
        <f t="shared" si="3"/>
      </c>
    </row>
    <row r="67" spans="6:7" ht="12.75">
      <c r="F67" s="209">
        <f t="shared" si="2"/>
      </c>
      <c r="G67" s="200">
        <f t="shared" si="3"/>
      </c>
    </row>
    <row r="68" spans="6:7" ht="12.75">
      <c r="F68" s="209">
        <f t="shared" si="2"/>
      </c>
      <c r="G68" s="200">
        <f t="shared" si="3"/>
      </c>
    </row>
    <row r="69" spans="6:7" ht="12.75">
      <c r="F69" s="209">
        <f t="shared" si="2"/>
      </c>
      <c r="G69" s="200">
        <f t="shared" si="3"/>
      </c>
    </row>
    <row r="70" spans="6:7" ht="12.75">
      <c r="F70" s="209">
        <f t="shared" si="2"/>
      </c>
      <c r="G70" s="200">
        <f t="shared" si="3"/>
      </c>
    </row>
    <row r="71" spans="6:7" ht="12.75">
      <c r="F71" s="209">
        <f t="shared" si="2"/>
      </c>
      <c r="G71" s="200">
        <f t="shared" si="3"/>
      </c>
    </row>
    <row r="72" spans="6:7" ht="12.75">
      <c r="F72" s="209">
        <f t="shared" si="2"/>
      </c>
      <c r="G72" s="200">
        <f t="shared" si="3"/>
      </c>
    </row>
    <row r="73" spans="6:7" ht="12.75">
      <c r="F73" s="209">
        <f t="shared" si="2"/>
      </c>
      <c r="G73" s="200">
        <f t="shared" si="3"/>
      </c>
    </row>
    <row r="74" spans="6:7" ht="12.75">
      <c r="F74" s="209">
        <f t="shared" si="2"/>
      </c>
      <c r="G74" s="200">
        <f t="shared" si="3"/>
      </c>
    </row>
    <row r="75" spans="6:7" ht="12.75">
      <c r="F75" s="209">
        <f t="shared" si="2"/>
      </c>
      <c r="G75" s="200">
        <f t="shared" si="3"/>
      </c>
    </row>
    <row r="76" spans="6:7" ht="12.75">
      <c r="F76" s="209">
        <f t="shared" si="2"/>
      </c>
      <c r="G76" s="200">
        <f t="shared" si="3"/>
      </c>
    </row>
    <row r="77" spans="6:7" ht="12.75">
      <c r="F77" s="209">
        <f t="shared" si="2"/>
      </c>
      <c r="G77" s="200">
        <f t="shared" si="3"/>
      </c>
    </row>
    <row r="78" spans="6:7" ht="12.75">
      <c r="F78" s="209">
        <f t="shared" si="2"/>
      </c>
      <c r="G78" s="200">
        <f t="shared" si="3"/>
      </c>
    </row>
    <row r="79" spans="6:7" ht="12.75">
      <c r="F79" s="209">
        <f t="shared" si="2"/>
      </c>
      <c r="G79" s="200">
        <f t="shared" si="3"/>
      </c>
    </row>
    <row r="80" spans="6:7" ht="12.75">
      <c r="F80" s="209">
        <f t="shared" si="2"/>
      </c>
      <c r="G80" s="200">
        <f t="shared" si="3"/>
      </c>
    </row>
    <row r="81" spans="6:7" ht="12.75">
      <c r="F81" s="209">
        <f t="shared" si="2"/>
      </c>
      <c r="G81" s="200">
        <f t="shared" si="3"/>
      </c>
    </row>
    <row r="82" spans="6:7" ht="12.75">
      <c r="F82" s="209">
        <f t="shared" si="2"/>
      </c>
      <c r="G82" s="200">
        <f t="shared" si="3"/>
      </c>
    </row>
    <row r="83" spans="6:7" ht="12.75">
      <c r="F83" s="209">
        <f t="shared" si="2"/>
      </c>
      <c r="G83" s="200">
        <f t="shared" si="3"/>
      </c>
    </row>
    <row r="84" spans="6:7" ht="12.75">
      <c r="F84" s="209">
        <f t="shared" si="2"/>
      </c>
      <c r="G84" s="200">
        <f t="shared" si="3"/>
      </c>
    </row>
    <row r="85" spans="6:7" ht="12.75">
      <c r="F85" s="209">
        <f t="shared" si="2"/>
      </c>
      <c r="G85" s="200">
        <f t="shared" si="3"/>
      </c>
    </row>
    <row r="86" spans="6:7" ht="12.75">
      <c r="F86" s="209">
        <f t="shared" si="2"/>
      </c>
      <c r="G86" s="200">
        <f t="shared" si="3"/>
      </c>
    </row>
    <row r="87" spans="6:7" ht="12.75">
      <c r="F87" s="209">
        <f t="shared" si="2"/>
      </c>
      <c r="G87" s="200">
        <f t="shared" si="3"/>
      </c>
    </row>
    <row r="88" spans="6:7" ht="12.75">
      <c r="F88" s="209">
        <f t="shared" si="2"/>
      </c>
      <c r="G88" s="200">
        <f t="shared" si="3"/>
      </c>
    </row>
    <row r="89" spans="6:7" ht="12.75">
      <c r="F89" s="209">
        <f t="shared" si="2"/>
      </c>
      <c r="G89" s="200">
        <f t="shared" si="3"/>
      </c>
    </row>
    <row r="90" spans="6:7" ht="12.75">
      <c r="F90" s="209">
        <f t="shared" si="2"/>
      </c>
      <c r="G90" s="200">
        <f t="shared" si="3"/>
      </c>
    </row>
    <row r="91" spans="6:7" ht="12.75">
      <c r="F91" s="209">
        <f t="shared" si="2"/>
      </c>
      <c r="G91" s="200">
        <f t="shared" si="3"/>
      </c>
    </row>
    <row r="92" spans="6:7" ht="12.75">
      <c r="F92" s="209">
        <f t="shared" si="2"/>
      </c>
      <c r="G92" s="200">
        <f t="shared" si="3"/>
      </c>
    </row>
    <row r="93" spans="6:7" ht="12.75">
      <c r="F93" s="209">
        <f t="shared" si="2"/>
      </c>
      <c r="G93" s="200">
        <f t="shared" si="3"/>
      </c>
    </row>
    <row r="94" spans="6:7" ht="12.75">
      <c r="F94" s="209">
        <f t="shared" si="2"/>
      </c>
      <c r="G94" s="200">
        <f t="shared" si="3"/>
      </c>
    </row>
    <row r="95" spans="6:7" ht="12.75">
      <c r="F95" s="209">
        <f t="shared" si="2"/>
      </c>
      <c r="G95" s="200">
        <f t="shared" si="3"/>
      </c>
    </row>
    <row r="96" spans="6:7" ht="12.75">
      <c r="F96" s="209">
        <f t="shared" si="2"/>
      </c>
      <c r="G96" s="200">
        <f t="shared" si="3"/>
      </c>
    </row>
    <row r="97" spans="6:7" ht="12.75">
      <c r="F97" s="209">
        <f t="shared" si="2"/>
      </c>
      <c r="G97" s="200">
        <f t="shared" si="3"/>
      </c>
    </row>
    <row r="98" spans="6:7" ht="12.75">
      <c r="F98" s="209">
        <f aca="true" t="shared" si="4" ref="F98:F161">IF($E98=0,"",($C98*16+$D98)*144/$E98)</f>
      </c>
      <c r="G98" s="200">
        <f aca="true" t="shared" si="5" ref="G98:G161">IF($E98=0,"",($C98*16+$D98)*(144/$E98)^1.5)</f>
      </c>
    </row>
    <row r="99" spans="6:7" ht="12.75">
      <c r="F99" s="209">
        <f t="shared" si="4"/>
      </c>
      <c r="G99" s="200">
        <f t="shared" si="5"/>
      </c>
    </row>
    <row r="100" spans="6:7" ht="12.75">
      <c r="F100" s="209">
        <f t="shared" si="4"/>
      </c>
      <c r="G100" s="200">
        <f t="shared" si="5"/>
      </c>
    </row>
    <row r="101" spans="6:7" ht="12.75">
      <c r="F101" s="209">
        <f t="shared" si="4"/>
      </c>
      <c r="G101" s="200">
        <f t="shared" si="5"/>
      </c>
    </row>
    <row r="102" spans="6:7" ht="12.75">
      <c r="F102" s="209">
        <f t="shared" si="4"/>
      </c>
      <c r="G102" s="200">
        <f t="shared" si="5"/>
      </c>
    </row>
    <row r="103" spans="6:7" ht="12.75">
      <c r="F103" s="209">
        <f t="shared" si="4"/>
      </c>
      <c r="G103" s="200">
        <f t="shared" si="5"/>
      </c>
    </row>
    <row r="104" spans="6:7" ht="12.75">
      <c r="F104" s="209">
        <f t="shared" si="4"/>
      </c>
      <c r="G104" s="200">
        <f t="shared" si="5"/>
      </c>
    </row>
    <row r="105" spans="6:7" ht="12.75">
      <c r="F105" s="209">
        <f t="shared" si="4"/>
      </c>
      <c r="G105" s="200">
        <f t="shared" si="5"/>
      </c>
    </row>
    <row r="106" spans="6:7" ht="12.75">
      <c r="F106" s="209">
        <f t="shared" si="4"/>
      </c>
      <c r="G106" s="200">
        <f t="shared" si="5"/>
      </c>
    </row>
    <row r="107" spans="6:7" ht="12.75">
      <c r="F107" s="209">
        <f t="shared" si="4"/>
      </c>
      <c r="G107" s="200">
        <f t="shared" si="5"/>
      </c>
    </row>
    <row r="108" spans="6:7" ht="12.75">
      <c r="F108" s="209">
        <f t="shared" si="4"/>
      </c>
      <c r="G108" s="200">
        <f t="shared" si="5"/>
      </c>
    </row>
    <row r="109" spans="6:7" ht="12.75">
      <c r="F109" s="209">
        <f t="shared" si="4"/>
      </c>
      <c r="G109" s="200">
        <f t="shared" si="5"/>
      </c>
    </row>
    <row r="110" spans="6:7" ht="12.75">
      <c r="F110" s="209">
        <f t="shared" si="4"/>
      </c>
      <c r="G110" s="200">
        <f t="shared" si="5"/>
      </c>
    </row>
    <row r="111" spans="6:7" ht="12.75">
      <c r="F111" s="209">
        <f t="shared" si="4"/>
      </c>
      <c r="G111" s="200">
        <f t="shared" si="5"/>
      </c>
    </row>
    <row r="112" spans="6:7" ht="12.75">
      <c r="F112" s="209">
        <f t="shared" si="4"/>
      </c>
      <c r="G112" s="200">
        <f t="shared" si="5"/>
      </c>
    </row>
    <row r="113" spans="6:7" ht="12.75">
      <c r="F113" s="209">
        <f t="shared" si="4"/>
      </c>
      <c r="G113" s="200">
        <f t="shared" si="5"/>
      </c>
    </row>
    <row r="114" spans="6:7" ht="12.75">
      <c r="F114" s="209">
        <f t="shared" si="4"/>
      </c>
      <c r="G114" s="200">
        <f t="shared" si="5"/>
      </c>
    </row>
    <row r="115" spans="6:7" ht="12.75">
      <c r="F115" s="209">
        <f t="shared" si="4"/>
      </c>
      <c r="G115" s="200">
        <f t="shared" si="5"/>
      </c>
    </row>
    <row r="116" spans="6:7" ht="12.75">
      <c r="F116" s="209">
        <f t="shared" si="4"/>
      </c>
      <c r="G116" s="200">
        <f t="shared" si="5"/>
      </c>
    </row>
    <row r="117" spans="6:7" ht="12.75">
      <c r="F117" s="209">
        <f t="shared" si="4"/>
      </c>
      <c r="G117" s="200">
        <f t="shared" si="5"/>
      </c>
    </row>
    <row r="118" spans="6:7" ht="12.75">
      <c r="F118" s="209">
        <f t="shared" si="4"/>
      </c>
      <c r="G118" s="200">
        <f t="shared" si="5"/>
      </c>
    </row>
    <row r="119" spans="6:7" ht="12.75">
      <c r="F119" s="209">
        <f t="shared" si="4"/>
      </c>
      <c r="G119" s="200">
        <f t="shared" si="5"/>
      </c>
    </row>
    <row r="120" spans="6:7" ht="12.75">
      <c r="F120" s="209">
        <f t="shared" si="4"/>
      </c>
      <c r="G120" s="200">
        <f t="shared" si="5"/>
      </c>
    </row>
    <row r="121" spans="6:7" ht="12.75">
      <c r="F121" s="209">
        <f t="shared" si="4"/>
      </c>
      <c r="G121" s="200">
        <f t="shared" si="5"/>
      </c>
    </row>
    <row r="122" spans="6:7" ht="12.75">
      <c r="F122" s="209">
        <f t="shared" si="4"/>
      </c>
      <c r="G122" s="200">
        <f t="shared" si="5"/>
      </c>
    </row>
    <row r="123" spans="6:7" ht="12.75">
      <c r="F123" s="209">
        <f t="shared" si="4"/>
      </c>
      <c r="G123" s="200">
        <f t="shared" si="5"/>
      </c>
    </row>
    <row r="124" spans="6:7" ht="12.75">
      <c r="F124" s="209">
        <f t="shared" si="4"/>
      </c>
      <c r="G124" s="200">
        <f t="shared" si="5"/>
      </c>
    </row>
    <row r="125" spans="6:7" ht="12.75">
      <c r="F125" s="209">
        <f t="shared" si="4"/>
      </c>
      <c r="G125" s="200">
        <f t="shared" si="5"/>
      </c>
    </row>
    <row r="126" spans="6:7" ht="12.75">
      <c r="F126" s="209">
        <f t="shared" si="4"/>
      </c>
      <c r="G126" s="200">
        <f t="shared" si="5"/>
      </c>
    </row>
    <row r="127" spans="6:7" ht="12.75">
      <c r="F127" s="209">
        <f t="shared" si="4"/>
      </c>
      <c r="G127" s="200">
        <f t="shared" si="5"/>
      </c>
    </row>
    <row r="128" spans="6:7" ht="12.75">
      <c r="F128" s="209">
        <f t="shared" si="4"/>
      </c>
      <c r="G128" s="200">
        <f t="shared" si="5"/>
      </c>
    </row>
    <row r="129" spans="6:7" ht="12.75">
      <c r="F129" s="209">
        <f t="shared" si="4"/>
      </c>
      <c r="G129" s="200">
        <f t="shared" si="5"/>
      </c>
    </row>
    <row r="130" spans="6:7" ht="12.75">
      <c r="F130" s="209">
        <f t="shared" si="4"/>
      </c>
      <c r="G130" s="200">
        <f t="shared" si="5"/>
      </c>
    </row>
    <row r="131" spans="6:7" ht="12.75">
      <c r="F131" s="209">
        <f t="shared" si="4"/>
      </c>
      <c r="G131" s="200">
        <f t="shared" si="5"/>
      </c>
    </row>
    <row r="132" spans="6:7" ht="12.75">
      <c r="F132" s="209">
        <f t="shared" si="4"/>
      </c>
      <c r="G132" s="200">
        <f t="shared" si="5"/>
      </c>
    </row>
    <row r="133" spans="6:7" ht="12.75">
      <c r="F133" s="209">
        <f t="shared" si="4"/>
      </c>
      <c r="G133" s="200">
        <f t="shared" si="5"/>
      </c>
    </row>
    <row r="134" spans="6:7" ht="12.75">
      <c r="F134" s="209">
        <f t="shared" si="4"/>
      </c>
      <c r="G134" s="200">
        <f t="shared" si="5"/>
      </c>
    </row>
    <row r="135" spans="6:7" ht="12.75">
      <c r="F135" s="209">
        <f t="shared" si="4"/>
      </c>
      <c r="G135" s="200">
        <f t="shared" si="5"/>
      </c>
    </row>
    <row r="136" spans="6:7" ht="12.75">
      <c r="F136" s="209">
        <f t="shared" si="4"/>
      </c>
      <c r="G136" s="200">
        <f t="shared" si="5"/>
      </c>
    </row>
    <row r="137" spans="6:7" ht="12.75">
      <c r="F137" s="209">
        <f t="shared" si="4"/>
      </c>
      <c r="G137" s="200">
        <f t="shared" si="5"/>
      </c>
    </row>
    <row r="138" spans="6:7" ht="12.75">
      <c r="F138" s="209">
        <f t="shared" si="4"/>
      </c>
      <c r="G138" s="200">
        <f t="shared" si="5"/>
      </c>
    </row>
    <row r="139" spans="6:7" ht="12.75">
      <c r="F139" s="209">
        <f t="shared" si="4"/>
      </c>
      <c r="G139" s="200">
        <f t="shared" si="5"/>
      </c>
    </row>
    <row r="140" spans="6:7" ht="12.75">
      <c r="F140" s="209">
        <f t="shared" si="4"/>
      </c>
      <c r="G140" s="200">
        <f t="shared" si="5"/>
      </c>
    </row>
    <row r="141" spans="6:7" ht="12.75">
      <c r="F141" s="209">
        <f t="shared" si="4"/>
      </c>
      <c r="G141" s="200">
        <f t="shared" si="5"/>
      </c>
    </row>
    <row r="142" spans="6:7" ht="12.75">
      <c r="F142" s="209">
        <f t="shared" si="4"/>
      </c>
      <c r="G142" s="200">
        <f t="shared" si="5"/>
      </c>
    </row>
    <row r="143" spans="6:7" ht="12.75">
      <c r="F143" s="209">
        <f t="shared" si="4"/>
      </c>
      <c r="G143" s="200">
        <f t="shared" si="5"/>
      </c>
    </row>
    <row r="144" spans="6:7" ht="12.75">
      <c r="F144" s="209">
        <f t="shared" si="4"/>
      </c>
      <c r="G144" s="200">
        <f t="shared" si="5"/>
      </c>
    </row>
    <row r="145" spans="6:7" ht="12.75">
      <c r="F145" s="209">
        <f t="shared" si="4"/>
      </c>
      <c r="G145" s="200">
        <f t="shared" si="5"/>
      </c>
    </row>
    <row r="146" spans="6:7" ht="12.75">
      <c r="F146" s="209">
        <f t="shared" si="4"/>
      </c>
      <c r="G146" s="200">
        <f t="shared" si="5"/>
      </c>
    </row>
    <row r="147" spans="6:7" ht="12.75">
      <c r="F147" s="209">
        <f t="shared" si="4"/>
      </c>
      <c r="G147" s="200">
        <f t="shared" si="5"/>
      </c>
    </row>
    <row r="148" spans="6:7" ht="12.75">
      <c r="F148" s="209">
        <f t="shared" si="4"/>
      </c>
      <c r="G148" s="200">
        <f t="shared" si="5"/>
      </c>
    </row>
    <row r="149" spans="6:7" ht="12.75">
      <c r="F149" s="209">
        <f t="shared" si="4"/>
      </c>
      <c r="G149" s="200">
        <f t="shared" si="5"/>
      </c>
    </row>
    <row r="150" spans="6:7" ht="12.75">
      <c r="F150" s="209">
        <f t="shared" si="4"/>
      </c>
      <c r="G150" s="200">
        <f t="shared" si="5"/>
      </c>
    </row>
    <row r="151" spans="6:7" ht="12.75">
      <c r="F151" s="209">
        <f t="shared" si="4"/>
      </c>
      <c r="G151" s="200">
        <f t="shared" si="5"/>
      </c>
    </row>
    <row r="152" spans="6:7" ht="12.75">
      <c r="F152" s="209">
        <f t="shared" si="4"/>
      </c>
      <c r="G152" s="200">
        <f t="shared" si="5"/>
      </c>
    </row>
    <row r="153" spans="6:7" ht="12.75">
      <c r="F153" s="209">
        <f t="shared" si="4"/>
      </c>
      <c r="G153" s="200">
        <f t="shared" si="5"/>
      </c>
    </row>
    <row r="154" spans="6:7" ht="12.75">
      <c r="F154" s="209">
        <f t="shared" si="4"/>
      </c>
      <c r="G154" s="200">
        <f t="shared" si="5"/>
      </c>
    </row>
    <row r="155" spans="6:7" ht="12.75">
      <c r="F155" s="209">
        <f t="shared" si="4"/>
      </c>
      <c r="G155" s="200">
        <f t="shared" si="5"/>
      </c>
    </row>
    <row r="156" spans="6:7" ht="12.75">
      <c r="F156" s="209">
        <f t="shared" si="4"/>
      </c>
      <c r="G156" s="200">
        <f t="shared" si="5"/>
      </c>
    </row>
    <row r="157" spans="6:7" ht="12.75">
      <c r="F157" s="209">
        <f t="shared" si="4"/>
      </c>
      <c r="G157" s="200">
        <f t="shared" si="5"/>
      </c>
    </row>
    <row r="158" spans="6:7" ht="12.75">
      <c r="F158" s="209">
        <f t="shared" si="4"/>
      </c>
      <c r="G158" s="200">
        <f t="shared" si="5"/>
      </c>
    </row>
    <row r="159" spans="6:7" ht="12.75">
      <c r="F159" s="209">
        <f t="shared" si="4"/>
      </c>
      <c r="G159" s="200">
        <f t="shared" si="5"/>
      </c>
    </row>
    <row r="160" spans="6:7" ht="12.75">
      <c r="F160" s="209">
        <f t="shared" si="4"/>
      </c>
      <c r="G160" s="200">
        <f t="shared" si="5"/>
      </c>
    </row>
    <row r="161" spans="6:7" ht="12.75">
      <c r="F161" s="209">
        <f t="shared" si="4"/>
      </c>
      <c r="G161" s="200">
        <f t="shared" si="5"/>
      </c>
    </row>
    <row r="162" spans="6:7" ht="12.75">
      <c r="F162" s="209">
        <f aca="true" t="shared" si="6" ref="F162:F216">IF($E162=0,"",($C162*16+$D162)*144/$E162)</f>
      </c>
      <c r="G162" s="200">
        <f aca="true" t="shared" si="7" ref="G162:G216">IF($E162=0,"",($C162*16+$D162)*(144/$E162)^1.5)</f>
      </c>
    </row>
    <row r="163" spans="6:7" ht="12.75">
      <c r="F163" s="209">
        <f t="shared" si="6"/>
      </c>
      <c r="G163" s="200">
        <f t="shared" si="7"/>
      </c>
    </row>
    <row r="164" spans="6:7" ht="12.75">
      <c r="F164" s="209">
        <f t="shared" si="6"/>
      </c>
      <c r="G164" s="200">
        <f t="shared" si="7"/>
      </c>
    </row>
    <row r="165" spans="6:7" ht="12.75">
      <c r="F165" s="209">
        <f t="shared" si="6"/>
      </c>
      <c r="G165" s="200">
        <f t="shared" si="7"/>
      </c>
    </row>
    <row r="166" spans="6:7" ht="12.75">
      <c r="F166" s="209">
        <f t="shared" si="6"/>
      </c>
      <c r="G166" s="200">
        <f t="shared" si="7"/>
      </c>
    </row>
    <row r="167" spans="6:7" ht="12.75">
      <c r="F167" s="209">
        <f t="shared" si="6"/>
      </c>
      <c r="G167" s="200">
        <f t="shared" si="7"/>
      </c>
    </row>
    <row r="168" spans="6:7" ht="12.75">
      <c r="F168" s="209">
        <f t="shared" si="6"/>
      </c>
      <c r="G168" s="200">
        <f t="shared" si="7"/>
      </c>
    </row>
    <row r="169" spans="6:7" ht="12.75">
      <c r="F169" s="209">
        <f t="shared" si="6"/>
      </c>
      <c r="G169" s="200">
        <f t="shared" si="7"/>
      </c>
    </row>
    <row r="170" spans="6:7" ht="12.75">
      <c r="F170" s="209">
        <f t="shared" si="6"/>
      </c>
      <c r="G170" s="200">
        <f t="shared" si="7"/>
      </c>
    </row>
    <row r="171" spans="6:7" ht="12.75">
      <c r="F171" s="209">
        <f t="shared" si="6"/>
      </c>
      <c r="G171" s="200">
        <f t="shared" si="7"/>
      </c>
    </row>
    <row r="172" spans="6:7" ht="12.75">
      <c r="F172" s="209">
        <f t="shared" si="6"/>
      </c>
      <c r="G172" s="200">
        <f t="shared" si="7"/>
      </c>
    </row>
    <row r="173" spans="6:7" ht="12.75">
      <c r="F173" s="209">
        <f t="shared" si="6"/>
      </c>
      <c r="G173" s="200">
        <f t="shared" si="7"/>
      </c>
    </row>
    <row r="174" spans="6:7" ht="12.75">
      <c r="F174" s="209">
        <f t="shared" si="6"/>
      </c>
      <c r="G174" s="200">
        <f t="shared" si="7"/>
      </c>
    </row>
    <row r="175" spans="6:7" ht="12.75">
      <c r="F175" s="209">
        <f t="shared" si="6"/>
      </c>
      <c r="G175" s="200">
        <f t="shared" si="7"/>
      </c>
    </row>
    <row r="176" spans="6:7" ht="12.75">
      <c r="F176" s="209">
        <f t="shared" si="6"/>
      </c>
      <c r="G176" s="200">
        <f t="shared" si="7"/>
      </c>
    </row>
    <row r="177" spans="6:7" ht="12.75">
      <c r="F177" s="209">
        <f t="shared" si="6"/>
      </c>
      <c r="G177" s="200">
        <f t="shared" si="7"/>
      </c>
    </row>
    <row r="178" spans="6:7" ht="12.75">
      <c r="F178" s="209">
        <f t="shared" si="6"/>
      </c>
      <c r="G178" s="200">
        <f t="shared" si="7"/>
      </c>
    </row>
    <row r="179" spans="6:7" ht="12.75">
      <c r="F179" s="209">
        <f t="shared" si="6"/>
      </c>
      <c r="G179" s="200">
        <f t="shared" si="7"/>
      </c>
    </row>
    <row r="180" spans="6:7" ht="12.75">
      <c r="F180" s="209">
        <f t="shared" si="6"/>
      </c>
      <c r="G180" s="200">
        <f t="shared" si="7"/>
      </c>
    </row>
    <row r="181" spans="6:7" ht="12.75">
      <c r="F181" s="209">
        <f t="shared" si="6"/>
      </c>
      <c r="G181" s="200">
        <f t="shared" si="7"/>
      </c>
    </row>
    <row r="182" spans="6:7" ht="12.75">
      <c r="F182" s="209">
        <f t="shared" si="6"/>
      </c>
      <c r="G182" s="200">
        <f t="shared" si="7"/>
      </c>
    </row>
    <row r="183" spans="6:7" ht="12.75">
      <c r="F183" s="209">
        <f t="shared" si="6"/>
      </c>
      <c r="G183" s="200">
        <f t="shared" si="7"/>
      </c>
    </row>
    <row r="184" spans="6:7" ht="12.75">
      <c r="F184" s="209">
        <f t="shared" si="6"/>
      </c>
      <c r="G184" s="200">
        <f t="shared" si="7"/>
      </c>
    </row>
    <row r="185" spans="6:7" ht="12.75">
      <c r="F185" s="209">
        <f t="shared" si="6"/>
      </c>
      <c r="G185" s="200">
        <f t="shared" si="7"/>
      </c>
    </row>
    <row r="186" spans="6:7" ht="12.75">
      <c r="F186" s="209">
        <f t="shared" si="6"/>
      </c>
      <c r="G186" s="200">
        <f t="shared" si="7"/>
      </c>
    </row>
    <row r="187" spans="6:7" ht="12.75">
      <c r="F187" s="209">
        <f t="shared" si="6"/>
      </c>
      <c r="G187" s="200">
        <f t="shared" si="7"/>
      </c>
    </row>
    <row r="188" spans="6:7" ht="12.75">
      <c r="F188" s="209">
        <f t="shared" si="6"/>
      </c>
      <c r="G188" s="200">
        <f t="shared" si="7"/>
      </c>
    </row>
    <row r="189" spans="6:7" ht="12.75">
      <c r="F189" s="209">
        <f t="shared" si="6"/>
      </c>
      <c r="G189" s="200">
        <f t="shared" si="7"/>
      </c>
    </row>
    <row r="190" spans="6:7" ht="12.75">
      <c r="F190" s="209">
        <f t="shared" si="6"/>
      </c>
      <c r="G190" s="200">
        <f t="shared" si="7"/>
      </c>
    </row>
    <row r="191" spans="6:7" ht="12.75">
      <c r="F191" s="209">
        <f t="shared" si="6"/>
      </c>
      <c r="G191" s="200">
        <f t="shared" si="7"/>
      </c>
    </row>
    <row r="192" spans="6:7" ht="12.75">
      <c r="F192" s="209">
        <f t="shared" si="6"/>
      </c>
      <c r="G192" s="200">
        <f t="shared" si="7"/>
      </c>
    </row>
    <row r="193" spans="6:7" ht="12.75">
      <c r="F193" s="209">
        <f t="shared" si="6"/>
      </c>
      <c r="G193" s="200">
        <f t="shared" si="7"/>
      </c>
    </row>
    <row r="194" spans="6:7" ht="12.75">
      <c r="F194" s="209">
        <f t="shared" si="6"/>
      </c>
      <c r="G194" s="200">
        <f t="shared" si="7"/>
      </c>
    </row>
    <row r="195" spans="6:7" ht="12.75">
      <c r="F195" s="209">
        <f t="shared" si="6"/>
      </c>
      <c r="G195" s="200">
        <f t="shared" si="7"/>
      </c>
    </row>
    <row r="196" spans="6:7" ht="12.75">
      <c r="F196" s="209">
        <f t="shared" si="6"/>
      </c>
      <c r="G196" s="200">
        <f t="shared" si="7"/>
      </c>
    </row>
    <row r="197" spans="6:7" ht="12.75">
      <c r="F197" s="209">
        <f t="shared" si="6"/>
      </c>
      <c r="G197" s="200">
        <f t="shared" si="7"/>
      </c>
    </row>
    <row r="198" spans="6:7" ht="12.75">
      <c r="F198" s="209">
        <f t="shared" si="6"/>
      </c>
      <c r="G198" s="200">
        <f t="shared" si="7"/>
      </c>
    </row>
    <row r="199" spans="6:7" ht="12.75">
      <c r="F199" s="209">
        <f t="shared" si="6"/>
      </c>
      <c r="G199" s="200">
        <f t="shared" si="7"/>
      </c>
    </row>
    <row r="200" spans="6:7" ht="12.75">
      <c r="F200" s="209">
        <f t="shared" si="6"/>
      </c>
      <c r="G200" s="200">
        <f t="shared" si="7"/>
      </c>
    </row>
    <row r="201" spans="6:7" ht="12.75">
      <c r="F201" s="209">
        <f t="shared" si="6"/>
      </c>
      <c r="G201" s="200">
        <f t="shared" si="7"/>
      </c>
    </row>
    <row r="202" spans="6:7" ht="12.75">
      <c r="F202" s="209">
        <f t="shared" si="6"/>
      </c>
      <c r="G202" s="200">
        <f t="shared" si="7"/>
      </c>
    </row>
    <row r="203" spans="6:7" ht="12.75">
      <c r="F203" s="209">
        <f t="shared" si="6"/>
      </c>
      <c r="G203" s="200">
        <f t="shared" si="7"/>
      </c>
    </row>
    <row r="204" spans="6:7" ht="12.75">
      <c r="F204" s="209">
        <f t="shared" si="6"/>
      </c>
      <c r="G204" s="200">
        <f t="shared" si="7"/>
      </c>
    </row>
    <row r="205" spans="6:7" ht="12.75">
      <c r="F205" s="209">
        <f t="shared" si="6"/>
      </c>
      <c r="G205" s="200">
        <f t="shared" si="7"/>
      </c>
    </row>
    <row r="206" spans="6:7" ht="12.75">
      <c r="F206" s="209">
        <f t="shared" si="6"/>
      </c>
      <c r="G206" s="200">
        <f t="shared" si="7"/>
      </c>
    </row>
    <row r="207" spans="6:7" ht="12.75">
      <c r="F207" s="209">
        <f t="shared" si="6"/>
      </c>
      <c r="G207" s="200">
        <f t="shared" si="7"/>
      </c>
    </row>
    <row r="208" spans="6:7" ht="12.75">
      <c r="F208" s="209">
        <f t="shared" si="6"/>
      </c>
      <c r="G208" s="200">
        <f t="shared" si="7"/>
      </c>
    </row>
    <row r="209" spans="6:7" ht="12.75">
      <c r="F209" s="209">
        <f t="shared" si="6"/>
      </c>
      <c r="G209" s="200">
        <f t="shared" si="7"/>
      </c>
    </row>
    <row r="210" spans="6:7" ht="12.75">
      <c r="F210" s="209">
        <f t="shared" si="6"/>
      </c>
      <c r="G210" s="200">
        <f t="shared" si="7"/>
      </c>
    </row>
    <row r="211" spans="6:7" ht="12.75">
      <c r="F211" s="209">
        <f t="shared" si="6"/>
      </c>
      <c r="G211" s="200">
        <f t="shared" si="7"/>
      </c>
    </row>
    <row r="212" spans="6:7" ht="12.75">
      <c r="F212" s="209">
        <f t="shared" si="6"/>
      </c>
      <c r="G212" s="200">
        <f t="shared" si="7"/>
      </c>
    </row>
    <row r="213" spans="6:7" ht="12.75">
      <c r="F213" s="209">
        <f t="shared" si="6"/>
      </c>
      <c r="G213" s="200">
        <f t="shared" si="7"/>
      </c>
    </row>
    <row r="214" spans="6:7" ht="12.75">
      <c r="F214" s="209">
        <f t="shared" si="6"/>
      </c>
      <c r="G214" s="200">
        <f t="shared" si="7"/>
      </c>
    </row>
    <row r="215" spans="6:7" ht="12.75">
      <c r="F215" s="209">
        <f t="shared" si="6"/>
      </c>
      <c r="G215" s="200">
        <f t="shared" si="7"/>
      </c>
    </row>
    <row r="216" spans="6:7" ht="12.75">
      <c r="F216" s="209">
        <f t="shared" si="6"/>
      </c>
      <c r="G216" s="200">
        <f t="shared" si="7"/>
      </c>
    </row>
  </sheetData>
  <sheetProtection sheet="1" objects="1" scenarios="1"/>
  <conditionalFormatting sqref="G1:G65536">
    <cfRule type="cellIs" priority="1" dxfId="1" operator="between" stopIfTrue="1">
      <formula>8</formula>
      <formula>10</formula>
    </cfRule>
    <cfRule type="cellIs" priority="2" dxfId="2" operator="between" stopIfTrue="1">
      <formula>10</formula>
      <formula>12</formula>
    </cfRule>
    <cfRule type="cellIs" priority="3" dxfId="3" operator="between" stopIfTrue="1">
      <formula>12</formula>
      <formula>100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32"/>
  <sheetViews>
    <sheetView workbookViewId="0" topLeftCell="A1">
      <selection activeCell="C12" sqref="C12"/>
    </sheetView>
  </sheetViews>
  <sheetFormatPr defaultColWidth="9.140625" defaultRowHeight="12.75"/>
  <cols>
    <col min="1" max="1" width="9.140625" style="173" customWidth="1"/>
    <col min="2" max="2" width="47.28125" style="246" customWidth="1"/>
    <col min="3" max="3" width="6.57421875" style="177" bestFit="1" customWidth="1"/>
    <col min="4" max="4" width="10.00390625" style="234" bestFit="1" customWidth="1"/>
    <col min="5" max="16384" width="9.140625" style="173" customWidth="1"/>
  </cols>
  <sheetData>
    <row r="1" ht="18.75" thickBot="1">
      <c r="B1" s="225" t="s">
        <v>284</v>
      </c>
    </row>
    <row r="2" spans="2:4" ht="12.75">
      <c r="B2" s="226" t="s">
        <v>282</v>
      </c>
      <c r="C2" s="232">
        <v>5</v>
      </c>
      <c r="D2" s="235" t="s">
        <v>60</v>
      </c>
    </row>
    <row r="3" spans="2:4" ht="13.5" thickBot="1">
      <c r="B3" s="227" t="s">
        <v>283</v>
      </c>
      <c r="C3" s="233">
        <v>3</v>
      </c>
      <c r="D3" s="236" t="s">
        <v>60</v>
      </c>
    </row>
    <row r="4" ht="13.5" thickBot="1">
      <c r="B4" s="174"/>
    </row>
    <row r="5" spans="2:4" ht="12.75">
      <c r="B5" s="226" t="s">
        <v>302</v>
      </c>
      <c r="C5" s="232">
        <v>50</v>
      </c>
      <c r="D5" s="235" t="s">
        <v>288</v>
      </c>
    </row>
    <row r="6" spans="2:4" ht="13.5" thickBot="1">
      <c r="B6" s="227" t="s">
        <v>303</v>
      </c>
      <c r="C6" s="233">
        <v>5</v>
      </c>
      <c r="D6" s="236" t="s">
        <v>289</v>
      </c>
    </row>
    <row r="7" ht="13.5" thickBot="1">
      <c r="B7" s="174"/>
    </row>
    <row r="8" spans="2:4" ht="12.75">
      <c r="B8" s="226" t="s">
        <v>337</v>
      </c>
      <c r="C8" s="232">
        <v>125</v>
      </c>
      <c r="D8" s="235" t="s">
        <v>290</v>
      </c>
    </row>
    <row r="9" spans="2:4" ht="13.5" thickBot="1">
      <c r="B9" s="227" t="s">
        <v>338</v>
      </c>
      <c r="C9" s="233">
        <v>6</v>
      </c>
      <c r="D9" s="236" t="s">
        <v>60</v>
      </c>
    </row>
    <row r="10" spans="2:4" ht="12.75">
      <c r="B10" s="226" t="s">
        <v>331</v>
      </c>
      <c r="C10" s="232">
        <v>0</v>
      </c>
      <c r="D10" s="235" t="s">
        <v>290</v>
      </c>
    </row>
    <row r="11" spans="2:4" ht="13.5" thickBot="1">
      <c r="B11" s="227" t="s">
        <v>332</v>
      </c>
      <c r="C11" s="233">
        <v>0</v>
      </c>
      <c r="D11" s="236" t="s">
        <v>60</v>
      </c>
    </row>
    <row r="12" spans="2:4" ht="13.5" thickBot="1">
      <c r="B12" s="227" t="s">
        <v>340</v>
      </c>
      <c r="C12" s="233">
        <v>0</v>
      </c>
      <c r="D12" s="236" t="s">
        <v>290</v>
      </c>
    </row>
    <row r="13" ht="12.75"/>
    <row r="14" ht="12.75">
      <c r="B14" s="174"/>
    </row>
    <row r="15" ht="18.75" thickBot="1">
      <c r="B15" s="225" t="s">
        <v>285</v>
      </c>
    </row>
    <row r="16" spans="2:4" ht="12.75">
      <c r="B16" s="228" t="s">
        <v>287</v>
      </c>
      <c r="C16" s="241">
        <f>C2/C3</f>
        <v>1.6666666666666667</v>
      </c>
      <c r="D16" s="237"/>
    </row>
    <row r="17" spans="2:4" ht="12.75">
      <c r="B17" s="229" t="s">
        <v>294</v>
      </c>
      <c r="C17" s="243">
        <f>(C5/C6)*(180*1.35582)/(3.14*16*12)</f>
        <v>4.048029458598727</v>
      </c>
      <c r="D17" s="238" t="s">
        <v>293</v>
      </c>
    </row>
    <row r="18" spans="2:4" ht="12.75">
      <c r="B18" s="229" t="s">
        <v>295</v>
      </c>
      <c r="C18" s="243">
        <f>C17*C16^2</f>
        <v>11.244526273885354</v>
      </c>
      <c r="D18" s="238" t="s">
        <v>293</v>
      </c>
    </row>
    <row r="19" spans="2:4" ht="13.5" thickBot="1">
      <c r="B19" s="230" t="s">
        <v>296</v>
      </c>
      <c r="C19" s="242">
        <f>(C5/16)/(C3/2.54)</f>
        <v>2.6458333333333335</v>
      </c>
      <c r="D19" s="239" t="s">
        <v>64</v>
      </c>
    </row>
    <row r="20" ht="13.5" thickBot="1">
      <c r="B20" s="174"/>
    </row>
    <row r="21" spans="2:4" ht="12.75">
      <c r="B21" s="228" t="s">
        <v>333</v>
      </c>
      <c r="C21" s="244">
        <f>C8*C9^2+C10*C11^2+C12*C2^2</f>
        <v>4500</v>
      </c>
      <c r="D21" s="237" t="s">
        <v>335</v>
      </c>
    </row>
    <row r="22" spans="2:4" ht="13.5" thickBot="1">
      <c r="B22" s="230" t="s">
        <v>334</v>
      </c>
      <c r="C22" s="250">
        <f>C8*C9-C10*C11</f>
        <v>750</v>
      </c>
      <c r="D22" s="239" t="s">
        <v>336</v>
      </c>
    </row>
    <row r="23" ht="13.5" thickBot="1">
      <c r="B23" s="174"/>
    </row>
    <row r="24" spans="2:4" ht="12.75">
      <c r="B24" s="228" t="s">
        <v>330</v>
      </c>
      <c r="C24" s="244">
        <f>SQRT(2*10^7*C18/C21)/(2*PI())</f>
        <v>35.57946835477247</v>
      </c>
      <c r="D24" s="237" t="s">
        <v>291</v>
      </c>
    </row>
    <row r="25" spans="2:4" ht="13.5" thickBot="1">
      <c r="B25" s="231" t="s">
        <v>330</v>
      </c>
      <c r="C25" s="245">
        <f>C24*60</f>
        <v>2134.7681012863486</v>
      </c>
      <c r="D25" s="240" t="s">
        <v>292</v>
      </c>
    </row>
    <row r="26" ht="12.75">
      <c r="B26" s="174"/>
    </row>
    <row r="27" ht="18">
      <c r="B27" s="225" t="s">
        <v>286</v>
      </c>
    </row>
    <row r="28" ht="12.75">
      <c r="B28" s="246" t="s">
        <v>341</v>
      </c>
    </row>
    <row r="29" ht="12.75">
      <c r="B29" s="246" t="s">
        <v>339</v>
      </c>
    </row>
    <row r="30" ht="12.75">
      <c r="B30" s="246" t="s">
        <v>329</v>
      </c>
    </row>
    <row r="31" ht="12.75">
      <c r="B31" s="246" t="s">
        <v>342</v>
      </c>
    </row>
    <row r="32" ht="12.75">
      <c r="B32" s="246" t="s">
        <v>343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H34" sqref="H34"/>
    </sheetView>
  </sheetViews>
  <sheetFormatPr defaultColWidth="9.140625" defaultRowHeight="12.75"/>
  <cols>
    <col min="1" max="21" width="9.7109375" style="248" customWidth="1"/>
    <col min="22" max="16384" width="9.140625" style="248" customWidth="1"/>
  </cols>
  <sheetData>
    <row r="1" spans="1:21" s="247" customFormat="1" ht="12.75">
      <c r="A1" s="247" t="s">
        <v>297</v>
      </c>
      <c r="B1" s="247" t="s">
        <v>307</v>
      </c>
      <c r="C1" s="247" t="s">
        <v>318</v>
      </c>
      <c r="D1" s="247" t="s">
        <v>319</v>
      </c>
      <c r="E1" s="247" t="s">
        <v>328</v>
      </c>
      <c r="F1" s="247" t="s">
        <v>308</v>
      </c>
      <c r="G1" s="247" t="s">
        <v>314</v>
      </c>
      <c r="H1" s="247" t="s">
        <v>320</v>
      </c>
      <c r="I1" s="247" t="s">
        <v>324</v>
      </c>
      <c r="J1" s="247" t="s">
        <v>309</v>
      </c>
      <c r="K1" s="247" t="s">
        <v>315</v>
      </c>
      <c r="L1" s="247" t="s">
        <v>321</v>
      </c>
      <c r="M1" s="247" t="s">
        <v>325</v>
      </c>
      <c r="N1" s="247" t="s">
        <v>310</v>
      </c>
      <c r="O1" s="247" t="s">
        <v>316</v>
      </c>
      <c r="P1" s="247" t="s">
        <v>322</v>
      </c>
      <c r="Q1" s="247" t="s">
        <v>326</v>
      </c>
      <c r="R1" s="247" t="s">
        <v>311</v>
      </c>
      <c r="S1" s="247" t="s">
        <v>317</v>
      </c>
      <c r="T1" s="247" t="s">
        <v>323</v>
      </c>
      <c r="U1" s="247" t="s">
        <v>327</v>
      </c>
    </row>
    <row r="2" spans="1:21" s="247" customFormat="1" ht="12.75">
      <c r="A2" s="247">
        <v>0</v>
      </c>
      <c r="B2" s="247">
        <v>0</v>
      </c>
      <c r="C2" s="247">
        <v>0</v>
      </c>
      <c r="D2" s="247">
        <v>0</v>
      </c>
      <c r="E2" s="247">
        <v>0</v>
      </c>
      <c r="F2" s="247">
        <v>0</v>
      </c>
      <c r="G2" s="247">
        <v>0</v>
      </c>
      <c r="H2" s="247">
        <v>0</v>
      </c>
      <c r="I2" s="247">
        <v>0</v>
      </c>
      <c r="J2" s="247">
        <v>0</v>
      </c>
      <c r="K2" s="247">
        <v>0</v>
      </c>
      <c r="L2" s="247">
        <v>0</v>
      </c>
      <c r="M2" s="247">
        <v>0</v>
      </c>
      <c r="N2" s="247">
        <v>0</v>
      </c>
      <c r="O2" s="247">
        <v>0</v>
      </c>
      <c r="P2" s="247">
        <v>0</v>
      </c>
      <c r="Q2" s="247">
        <v>0</v>
      </c>
      <c r="R2" s="247">
        <v>0</v>
      </c>
      <c r="S2" s="247">
        <v>0</v>
      </c>
      <c r="T2" s="247">
        <v>0</v>
      </c>
      <c r="U2" s="247">
        <v>0</v>
      </c>
    </row>
    <row r="3" spans="1:21" s="247" customFormat="1" ht="12.75">
      <c r="A3" s="247">
        <v>5</v>
      </c>
      <c r="B3" s="247">
        <v>15</v>
      </c>
      <c r="C3" s="247">
        <v>20</v>
      </c>
      <c r="D3" s="247">
        <v>22</v>
      </c>
      <c r="E3" s="247">
        <v>25</v>
      </c>
      <c r="F3" s="247">
        <v>15</v>
      </c>
      <c r="G3" s="247">
        <v>20</v>
      </c>
      <c r="H3" s="247">
        <v>20</v>
      </c>
      <c r="I3" s="247">
        <v>22</v>
      </c>
      <c r="J3" s="247">
        <v>19</v>
      </c>
      <c r="K3" s="247">
        <v>21</v>
      </c>
      <c r="L3" s="247">
        <v>24</v>
      </c>
      <c r="M3" s="247">
        <v>27</v>
      </c>
      <c r="N3" s="247">
        <v>20</v>
      </c>
      <c r="O3" s="247">
        <v>22</v>
      </c>
      <c r="P3" s="247">
        <v>25</v>
      </c>
      <c r="Q3" s="247">
        <v>31</v>
      </c>
      <c r="R3" s="175">
        <v>18.5</v>
      </c>
      <c r="S3" s="175">
        <v>19.5</v>
      </c>
      <c r="T3" s="175">
        <v>26.5</v>
      </c>
      <c r="U3" s="175">
        <v>33.5</v>
      </c>
    </row>
    <row r="4" spans="1:21" s="247" customFormat="1" ht="12.75">
      <c r="A4" s="247">
        <v>10</v>
      </c>
      <c r="B4" s="247">
        <v>22</v>
      </c>
      <c r="C4" s="247">
        <v>28</v>
      </c>
      <c r="D4" s="247">
        <v>32</v>
      </c>
      <c r="E4" s="247">
        <v>35</v>
      </c>
      <c r="F4" s="247">
        <v>23</v>
      </c>
      <c r="G4" s="247">
        <v>26</v>
      </c>
      <c r="H4" s="247">
        <v>25</v>
      </c>
      <c r="I4" s="247">
        <v>29</v>
      </c>
      <c r="J4" s="247">
        <v>27</v>
      </c>
      <c r="K4" s="247">
        <v>35</v>
      </c>
      <c r="L4" s="247">
        <v>34</v>
      </c>
      <c r="M4" s="247">
        <v>38</v>
      </c>
      <c r="N4" s="247">
        <v>32</v>
      </c>
      <c r="O4" s="247">
        <v>35</v>
      </c>
      <c r="P4" s="247">
        <v>41</v>
      </c>
      <c r="Q4" s="247">
        <v>52</v>
      </c>
      <c r="R4" s="175">
        <v>32.5</v>
      </c>
      <c r="S4" s="175">
        <v>35</v>
      </c>
      <c r="T4" s="175">
        <v>39.5</v>
      </c>
      <c r="U4" s="175">
        <v>47.5</v>
      </c>
    </row>
    <row r="5" spans="1:21" s="247" customFormat="1" ht="12.75">
      <c r="A5" s="247">
        <v>15</v>
      </c>
      <c r="B5" s="247">
        <v>23</v>
      </c>
      <c r="C5" s="247">
        <v>29</v>
      </c>
      <c r="D5" s="247">
        <v>36</v>
      </c>
      <c r="E5" s="247">
        <v>41</v>
      </c>
      <c r="F5" s="247">
        <v>25</v>
      </c>
      <c r="G5" s="247">
        <v>30</v>
      </c>
      <c r="H5" s="247">
        <v>35</v>
      </c>
      <c r="I5" s="247">
        <v>42</v>
      </c>
      <c r="J5" s="247">
        <v>31</v>
      </c>
      <c r="K5" s="247">
        <v>39</v>
      </c>
      <c r="L5" s="247">
        <v>40</v>
      </c>
      <c r="M5" s="247">
        <v>46</v>
      </c>
      <c r="N5" s="247">
        <v>35</v>
      </c>
      <c r="O5" s="247">
        <v>43</v>
      </c>
      <c r="P5" s="247">
        <v>54</v>
      </c>
      <c r="Q5" s="247">
        <v>65</v>
      </c>
      <c r="R5" s="175">
        <v>38</v>
      </c>
      <c r="S5" s="175">
        <v>44.5</v>
      </c>
      <c r="T5" s="175">
        <v>50</v>
      </c>
      <c r="U5" s="175">
        <v>63.5</v>
      </c>
    </row>
    <row r="7" spans="18:21" ht="12.75">
      <c r="R7" s="249"/>
      <c r="S7" s="249"/>
      <c r="T7" s="249"/>
      <c r="U7" s="249"/>
    </row>
    <row r="8" spans="18:21" ht="12.75">
      <c r="R8" s="249"/>
      <c r="S8" s="249"/>
      <c r="T8" s="249"/>
      <c r="U8" s="249"/>
    </row>
    <row r="9" spans="18:21" ht="12.75">
      <c r="R9" s="249"/>
      <c r="S9" s="249"/>
      <c r="T9" s="249"/>
      <c r="U9" s="249"/>
    </row>
    <row r="25" ht="12.75">
      <c r="B25" s="248" t="s">
        <v>301</v>
      </c>
    </row>
    <row r="27" ht="12.75">
      <c r="B27" s="248" t="s">
        <v>298</v>
      </c>
    </row>
    <row r="28" ht="12.75">
      <c r="B28" s="248" t="s">
        <v>299</v>
      </c>
    </row>
    <row r="29" ht="12.75">
      <c r="B29" s="248" t="s">
        <v>312</v>
      </c>
    </row>
    <row r="30" ht="12.75">
      <c r="B30" s="248" t="s">
        <v>313</v>
      </c>
    </row>
    <row r="31" ht="12.75">
      <c r="B31" s="248" t="s">
        <v>300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Tenney</dc:creator>
  <cp:keywords/>
  <dc:description/>
  <cp:lastModifiedBy>Craig Tenney</cp:lastModifiedBy>
  <dcterms:created xsi:type="dcterms:W3CDTF">1998-03-24T21:02:46Z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